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aquadratingenieurede-my.sharepoint.com/personal/a_berner_aquadrat-ingenieure_de/Documents/Daten/Tennis/von Martin/Wichtige Excel-Dateien/"/>
    </mc:Choice>
  </mc:AlternateContent>
  <xr:revisionPtr revIDLastSave="10" documentId="8_{EBF6F14D-0EF0-4150-94A0-9D9BBC94B538}" xr6:coauthVersionLast="47" xr6:coauthVersionMax="47" xr10:uidLastSave="{59B20EAB-8920-44E5-9B82-621056741B68}"/>
  <bookViews>
    <workbookView xWindow="-108" yWindow="-108" windowWidth="23256" windowHeight="12456" activeTab="2" xr2:uid="{430E0375-1DC8-4B12-815D-81EE5F1A40F7}"/>
  </bookViews>
  <sheets>
    <sheet name="Wichtige Hinweise" sheetId="5" r:id="rId1"/>
    <sheet name="Gebührenrechner" sheetId="1" r:id="rId2"/>
    <sheet name="Übersicht Trainingsgebühren" sheetId="3" r:id="rId3"/>
    <sheet name="Stammdaten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" i="2" l="1"/>
  <c r="I9" i="3"/>
  <c r="D9" i="3"/>
  <c r="C4" i="3"/>
  <c r="F7" i="1"/>
  <c r="F10" i="1"/>
  <c r="E11" i="1"/>
  <c r="E15" i="1" s="1"/>
  <c r="C16" i="1"/>
  <c r="C12" i="1"/>
  <c r="E16" i="1"/>
  <c r="J16" i="1"/>
  <c r="L8" i="3"/>
  <c r="L7" i="3"/>
  <c r="L6" i="3"/>
  <c r="G8" i="3"/>
  <c r="G7" i="3"/>
  <c r="G6" i="3"/>
  <c r="I7" i="3"/>
  <c r="J7" i="3"/>
  <c r="K7" i="3"/>
  <c r="I8" i="3"/>
  <c r="J8" i="3"/>
  <c r="K8" i="3"/>
  <c r="J6" i="3"/>
  <c r="K6" i="3"/>
  <c r="I6" i="3"/>
  <c r="D7" i="3"/>
  <c r="E7" i="3"/>
  <c r="F7" i="3"/>
  <c r="D8" i="3"/>
  <c r="E8" i="3"/>
  <c r="F8" i="3"/>
  <c r="E6" i="3"/>
  <c r="F6" i="3"/>
  <c r="D6" i="3"/>
  <c r="T16" i="2" l="1"/>
  <c r="T17" i="2"/>
  <c r="T18" i="2"/>
  <c r="T19" i="2"/>
  <c r="T20" i="2"/>
  <c r="T15" i="2"/>
  <c r="T10" i="2"/>
  <c r="T11" i="2"/>
  <c r="T12" i="2"/>
  <c r="T13" i="2"/>
  <c r="T14" i="2"/>
  <c r="T9" i="2"/>
  <c r="T4" i="2"/>
  <c r="T5" i="2"/>
  <c r="T6" i="2"/>
  <c r="T7" i="2"/>
  <c r="T8" i="2"/>
  <c r="C7" i="3"/>
  <c r="C8" i="3"/>
  <c r="C6" i="3"/>
  <c r="F14" i="1"/>
  <c r="F13" i="1"/>
  <c r="J15" i="3"/>
  <c r="I20" i="3"/>
  <c r="D20" i="3"/>
  <c r="J17" i="1"/>
  <c r="E17" i="1"/>
  <c r="C18" i="5"/>
  <c r="C17" i="5"/>
  <c r="C16" i="5"/>
  <c r="C15" i="5"/>
  <c r="B12" i="5"/>
  <c r="B11" i="5"/>
  <c r="B10" i="5"/>
  <c r="E8" i="5"/>
  <c r="D8" i="5"/>
  <c r="C8" i="5"/>
  <c r="E9" i="5"/>
  <c r="D9" i="5"/>
  <c r="C9" i="5"/>
  <c r="I4" i="3"/>
  <c r="D4" i="3"/>
  <c r="I30" i="3"/>
  <c r="D30" i="3"/>
  <c r="I32" i="3"/>
  <c r="D32" i="3"/>
  <c r="D24" i="3"/>
  <c r="D25" i="3" s="1"/>
  <c r="U3" i="2" l="1" a="1"/>
  <c r="U3" i="2" s="1"/>
  <c r="J13" i="3"/>
  <c r="E15" i="3"/>
  <c r="F15" i="3" s="1"/>
  <c r="J14" i="3"/>
  <c r="K14" i="3" s="1"/>
  <c r="E13" i="3"/>
  <c r="D13" i="3" s="1"/>
  <c r="E14" i="3"/>
  <c r="F14" i="3" s="1"/>
  <c r="J20" i="3"/>
  <c r="E20" i="3"/>
  <c r="K15" i="3"/>
  <c r="I33" i="3"/>
  <c r="D33" i="3"/>
  <c r="I14" i="3" l="1"/>
  <c r="I13" i="3"/>
  <c r="I19" i="3"/>
  <c r="K21" i="3" s="1"/>
  <c r="K13" i="3"/>
  <c r="D15" i="3"/>
  <c r="I15" i="3"/>
  <c r="D14" i="3"/>
  <c r="J16" i="3"/>
  <c r="I31" i="3" l="1"/>
  <c r="J21" i="3"/>
  <c r="I16" i="3"/>
  <c r="I24" i="3" s="1"/>
  <c r="J19" i="3"/>
  <c r="D27" i="1"/>
  <c r="D26" i="1"/>
  <c r="E26" i="1" s="1"/>
  <c r="I21" i="3" l="1"/>
  <c r="E34" i="1"/>
  <c r="D34" i="1" s="1"/>
  <c r="E35" i="1"/>
  <c r="I25" i="3" l="1"/>
  <c r="I27" i="3" s="1"/>
  <c r="I34" i="3" s="1"/>
  <c r="J24" i="3"/>
  <c r="J25" i="3" s="1"/>
  <c r="J27" i="3" s="1"/>
  <c r="E29" i="1"/>
  <c r="E33" i="1"/>
  <c r="D36" i="1"/>
  <c r="E27" i="1"/>
  <c r="D25" i="1"/>
  <c r="E25" i="1" s="1"/>
  <c r="B9" i="2"/>
  <c r="E31" i="1" l="1"/>
  <c r="D31" i="1" s="1"/>
  <c r="E36" i="1"/>
  <c r="D28" i="1"/>
  <c r="E28" i="1" s="1"/>
  <c r="D19" i="3"/>
  <c r="F21" i="3" s="1"/>
  <c r="E19" i="3" l="1"/>
  <c r="E16" i="3"/>
  <c r="E21" i="3" s="1"/>
  <c r="F13" i="3"/>
  <c r="D31" i="3"/>
  <c r="D16" i="3" l="1"/>
  <c r="D21" i="3" s="1"/>
  <c r="E27" i="3"/>
  <c r="D27" i="3" l="1"/>
  <c r="D34" i="3" l="1"/>
  <c r="E30" i="1"/>
  <c r="D30" i="1" l="1"/>
  <c r="D32" i="1" s="1"/>
  <c r="D37" i="1" s="1"/>
  <c r="E37" i="1" s="1"/>
  <c r="E3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<sst xmlns="http://schemas.openxmlformats.org/spreadsheetml/2006/main" count="157" uniqueCount="125">
  <si>
    <t>Sommer</t>
  </si>
  <si>
    <t>Grundbeitrag</t>
  </si>
  <si>
    <t>Erwachsene</t>
  </si>
  <si>
    <t>Kinder und Jugendliche</t>
  </si>
  <si>
    <t>Bundesfreiwilligendienstleistende, freiwilliges soziales Jahr (auf Antrag)</t>
  </si>
  <si>
    <t>Erwachsene in Ausbildung (auf Antrag / mit Nachweis bis zum 25. Lebensjahr)</t>
  </si>
  <si>
    <t>Renter (auf Antrag / mit Nachweis)</t>
  </si>
  <si>
    <t>Familienbeitrag (ab 3 Personen)</t>
  </si>
  <si>
    <t>Ehrenmitglieder, Ehrenabteilungsleiter, Ehrenvorsitzende (auf Antrag)</t>
  </si>
  <si>
    <t>Jugendliche</t>
  </si>
  <si>
    <t>Sonderbeitrag Tennis</t>
  </si>
  <si>
    <t>Lichtgeld pauschal</t>
  </si>
  <si>
    <t>Vereinsbeitrag</t>
  </si>
  <si>
    <t xml:space="preserve">     Grundbeitrag SGW</t>
  </si>
  <si>
    <t xml:space="preserve">     Sonderbeitrag Abteilung Tennis</t>
  </si>
  <si>
    <t>Summe Vereinsbeitrag pro Monat</t>
  </si>
  <si>
    <t xml:space="preserve">     Lichtgeld</t>
  </si>
  <si>
    <t xml:space="preserve">     Arbeitseinsatz [Stunden]</t>
  </si>
  <si>
    <t>Monat</t>
  </si>
  <si>
    <t>Jahr</t>
  </si>
  <si>
    <t>Summe Kosten Neumitglied:</t>
  </si>
  <si>
    <t xml:space="preserve">     Abteilungsübergreifender Beitrag</t>
  </si>
  <si>
    <t>Arbeitseinsatzstunden</t>
  </si>
  <si>
    <t>Abteilungsübergreifender Beitrag</t>
  </si>
  <si>
    <t>Stufenplan</t>
  </si>
  <si>
    <t>Trainingseingaben</t>
  </si>
  <si>
    <t>Gruppe</t>
  </si>
  <si>
    <t>Dauer [h]</t>
  </si>
  <si>
    <t>Gruppengröße</t>
  </si>
  <si>
    <t>Qualifikation</t>
  </si>
  <si>
    <t>Dauer</t>
  </si>
  <si>
    <t>Sonstige Festlegungen</t>
  </si>
  <si>
    <t>Subventionierung Jugend</t>
  </si>
  <si>
    <t>Rabatt mehrere Trainings</t>
  </si>
  <si>
    <t>Trainingsgebühren</t>
  </si>
  <si>
    <t>Je Saison</t>
  </si>
  <si>
    <t>Je Trainingswoche</t>
  </si>
  <si>
    <t>Rabatt Geschwisterkind</t>
  </si>
  <si>
    <t>Gebühr Training 1</t>
  </si>
  <si>
    <t>Max. zusätzlicher Rabatt</t>
  </si>
  <si>
    <t>Gebühr Training 2</t>
  </si>
  <si>
    <t>Gebühr Training 3</t>
  </si>
  <si>
    <t>Zwischensumme Trainingsgebühren</t>
  </si>
  <si>
    <t>Rabatte</t>
  </si>
  <si>
    <t>Rabatt Mehrfachtraining</t>
  </si>
  <si>
    <t>Rabatt Geschwister</t>
  </si>
  <si>
    <t>Summe Rabatt</t>
  </si>
  <si>
    <t>Sonstige nicht rabattierfähige Gebühren</t>
  </si>
  <si>
    <t>Lichtgeld</t>
  </si>
  <si>
    <t>Summe nicht rabattierfähiger Gebühren</t>
  </si>
  <si>
    <t>Summe</t>
  </si>
  <si>
    <t>Zusätzliche Informationen</t>
  </si>
  <si>
    <t>Anzahl Einheiten je Mannschaftstraining</t>
  </si>
  <si>
    <t>Anzahl Einheiten gesamt</t>
  </si>
  <si>
    <t>Trainingsstunden pro Woche [h]</t>
  </si>
  <si>
    <t>Trainingsstunden je Saison [h]</t>
  </si>
  <si>
    <t>Gebühren / Trainingsstunde</t>
  </si>
  <si>
    <t xml:space="preserve">     Gebühr Sommertraining</t>
  </si>
  <si>
    <t xml:space="preserve">     Gebühr Wintertraining</t>
  </si>
  <si>
    <t>Summe Trainingsgebühr</t>
  </si>
  <si>
    <t>Sonstige Gebühren</t>
  </si>
  <si>
    <t>Summe sonstige Gebühren</t>
  </si>
  <si>
    <t>Junior-Trainer</t>
  </si>
  <si>
    <t>Co-Trainer</t>
  </si>
  <si>
    <t>Senior-Trainer</t>
  </si>
  <si>
    <t>Trainingswochen</t>
  </si>
  <si>
    <t>Winter</t>
  </si>
  <si>
    <t>Auswahlfelder leer:</t>
  </si>
  <si>
    <t>Auswahlfelder gefüllt:</t>
  </si>
  <si>
    <t>TRAININGSBEZOGENE WERTE</t>
  </si>
  <si>
    <t>ALLGEMEINE WERTE</t>
  </si>
  <si>
    <t>Welche (Mehr-)Kosten fallen durch die Mitgliedschaft in der Tennisabteilung und ggf. durch Trainingsteilnahme an?</t>
  </si>
  <si>
    <t>Geschwisterkind im Trainingsbetrieb?</t>
  </si>
  <si>
    <t>Lichtgeld Basiskosten</t>
  </si>
  <si>
    <t>Bei Fragen können Sie sich gerne bei uns melden: tennis@sg-weiterstadt.de</t>
  </si>
  <si>
    <t>Trainingsdauer</t>
  </si>
  <si>
    <t>grau hinterlegt</t>
  </si>
  <si>
    <t>grün hinterlegt</t>
  </si>
  <si>
    <t>"Zusätzlicher Rabatt"</t>
  </si>
  <si>
    <t>Mia S.</t>
  </si>
  <si>
    <t>Jonas K.</t>
  </si>
  <si>
    <t>René P.</t>
  </si>
  <si>
    <t>Eric S.</t>
  </si>
  <si>
    <t>Michael M.</t>
  </si>
  <si>
    <t>Bist du bereits Mitglied bei der SGW?</t>
  </si>
  <si>
    <t>Wenn ja: Bist du bereits Mitglied in einer anderen Abteilung?</t>
  </si>
  <si>
    <t>Bitte wähle deine Mitgliedsart aus</t>
  </si>
  <si>
    <t>Diese Excel-Tabelle dient als reines Informations-Dokument und erhebt weder den Anspruch auf Richtigkeit, noch auf Vollständigkeit.</t>
  </si>
  <si>
    <t>Grundlegender Hinweis</t>
  </si>
  <si>
    <t>Für welches Jahr sollen die Gebühren berechnet werden?</t>
  </si>
  <si>
    <t>Möchtest du am Trainingsbetrieb teilnehmen, bzw. nimmst du Teil?</t>
  </si>
  <si>
    <t>↓ Fragen ↓</t>
  </si>
  <si>
    <t>↓ Antworten ↓</t>
  </si>
  <si>
    <t>Alle Trainer Hilfsspalte</t>
  </si>
  <si>
    <t/>
  </si>
  <si>
    <t xml:space="preserve">Alle Trainer </t>
  </si>
  <si>
    <t>Trainer*in</t>
  </si>
  <si>
    <t>4 - Gebührenaufschlüsselung</t>
  </si>
  <si>
    <t>Erläuterung</t>
  </si>
  <si>
    <t>Zur Kostendeckung der anfallenden Trainingskosten in der Sommersaison (Trainer*in, Trainingsbälle)</t>
  </si>
  <si>
    <t>Zur Kostendeckung der anfallenden Trainingskosten in der Wintersaison (Trainer*in, Trainingsbälle)</t>
  </si>
  <si>
    <t>Zur Kostendeckung der anfallenden Lichtkosten in der Wintersaison (Lichtautomat: 2€ pro Stunde pro Hallenplatz)</t>
  </si>
  <si>
    <t>Detaillierte Aufschlüsselung der Trainingsgebühren - Hier werden keine Eingaben getätigt!</t>
  </si>
  <si>
    <t>Detaillierte Aufschlüsselung der Trainingsgebühren im Blatt Trainingsgebühren (klick)</t>
  </si>
  <si>
    <t>Zur Deckung anfallender Personal- und Verwaltungskosten sowie Unterhaltung der Gebäude</t>
  </si>
  <si>
    <t>Bei einer Mitgliedschaft in mehreren Abteilungen, wird ab der zweiten Abteilung jeweils 1€ pro Monat berechnet</t>
  </si>
  <si>
    <t>Informationen zu den Gruppentrainings-Gebühren</t>
  </si>
  <si>
    <t>1 - Bitte beantworte zunächst folgende Fragen</t>
  </si>
  <si>
    <t>Angaben für 1. Trainingseinheit pro Woche in dieser Zeile --&gt;</t>
  </si>
  <si>
    <t>Angaben für 2. Trainingseinheit pro Woche in dieser Zeile --&gt;</t>
  </si>
  <si>
    <t>Angaben für 3. Trainingseinheit pro Woche in dieser Zeile --&gt;</t>
  </si>
  <si>
    <t>Check:</t>
  </si>
  <si>
    <t>Zur Deckung der abteilungsspezifischen Kosten wie bspw. Instandsetzung und Instandhaltung der Außenplätze</t>
  </si>
  <si>
    <t>Zum Zwecke der Instandsetzung und Instandhaltung der Außenanlage. Alternativ werden pro nicht geleisteter Stunde 10€ berechnet</t>
  </si>
  <si>
    <t>Nimmt ein Geschwisterkind bereits am Trainingsbetrieb Teil?</t>
  </si>
  <si>
    <t>Bist du zwischen 15 und 70 Jahre alt?</t>
  </si>
  <si>
    <t>Ja</t>
  </si>
  <si>
    <t>Nein</t>
  </si>
  <si>
    <t>Jugend</t>
  </si>
  <si>
    <t>Henri E.</t>
  </si>
  <si>
    <t>Tim S.</t>
  </si>
  <si>
    <t>Timo K.</t>
  </si>
  <si>
    <t>2023 ff.</t>
  </si>
  <si>
    <t>Erwachsen</t>
  </si>
  <si>
    <t>ab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</si>
</sst>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.00\ [$€-407]_-;\-* #,##0.00\ [$€-407]_-;_-* &quot;-&quot;??\ [$€-407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62">
    <xf numFmtId="0" fontId="0" fillId="0" borderId="0" xfId="0"/>
    <xf numFmtId="44" fontId="0" fillId="0" borderId="8" xfId="1" applyFont="1" applyFill="1" applyBorder="1"/>
    <xf numFmtId="44" fontId="0" fillId="0" borderId="1" xfId="1" applyFont="1" applyFill="1" applyBorder="1"/>
    <xf numFmtId="0" fontId="0" fillId="0" borderId="15" xfId="0" applyBorder="1"/>
    <xf numFmtId="9" fontId="0" fillId="0" borderId="9" xfId="3" applyFont="1" applyFill="1" applyBorder="1" applyAlignment="1">
      <alignment horizontal="center"/>
    </xf>
    <xf numFmtId="9" fontId="0" fillId="0" borderId="14" xfId="3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31" xfId="0" applyBorder="1"/>
    <xf numFmtId="0" fontId="0" fillId="0" borderId="25" xfId="0" applyBorder="1"/>
    <xf numFmtId="44" fontId="0" fillId="0" borderId="27" xfId="1" applyFont="1" applyFill="1" applyBorder="1"/>
    <xf numFmtId="0" fontId="2" fillId="3" borderId="0" xfId="0" applyFont="1" applyFill="1" applyAlignment="1">
      <alignment horizontal="center"/>
    </xf>
    <xf numFmtId="0" fontId="2" fillId="3" borderId="27" xfId="0" applyFont="1" applyFill="1" applyBorder="1"/>
    <xf numFmtId="0" fontId="0" fillId="3" borderId="26" xfId="0" applyFill="1" applyBorder="1"/>
    <xf numFmtId="44" fontId="0" fillId="3" borderId="27" xfId="1" applyFont="1" applyFill="1" applyBorder="1"/>
    <xf numFmtId="44" fontId="0" fillId="3" borderId="0" xfId="1" applyFont="1" applyFill="1" applyBorder="1"/>
    <xf numFmtId="0" fontId="0" fillId="3" borderId="27" xfId="1" applyNumberFormat="1" applyFont="1" applyFill="1" applyBorder="1"/>
    <xf numFmtId="0" fontId="0" fillId="3" borderId="27" xfId="0" applyFill="1" applyBorder="1"/>
    <xf numFmtId="0" fontId="0" fillId="3" borderId="0" xfId="0" applyFill="1"/>
    <xf numFmtId="0" fontId="0" fillId="3" borderId="28" xfId="0" applyFill="1" applyBorder="1"/>
    <xf numFmtId="44" fontId="0" fillId="3" borderId="30" xfId="1" applyFont="1" applyFill="1" applyBorder="1"/>
    <xf numFmtId="0" fontId="0" fillId="3" borderId="30" xfId="0" applyFill="1" applyBorder="1"/>
    <xf numFmtId="0" fontId="0" fillId="3" borderId="29" xfId="0" applyFill="1" applyBorder="1"/>
    <xf numFmtId="0" fontId="0" fillId="4" borderId="0" xfId="0" applyFill="1"/>
    <xf numFmtId="0" fontId="2" fillId="4" borderId="0" xfId="0" applyFont="1" applyFill="1"/>
    <xf numFmtId="0" fontId="0" fillId="4" borderId="26" xfId="0" applyFill="1" applyBorder="1"/>
    <xf numFmtId="9" fontId="0" fillId="4" borderId="27" xfId="3" applyFont="1" applyFill="1" applyBorder="1"/>
    <xf numFmtId="44" fontId="0" fillId="4" borderId="35" xfId="1" applyFont="1" applyFill="1" applyBorder="1"/>
    <xf numFmtId="0" fontId="0" fillId="4" borderId="27" xfId="0" applyFill="1" applyBorder="1"/>
    <xf numFmtId="44" fontId="0" fillId="4" borderId="0" xfId="1" applyFont="1" applyFill="1" applyBorder="1"/>
    <xf numFmtId="44" fontId="0" fillId="4" borderId="27" xfId="1" applyFont="1" applyFill="1" applyBorder="1"/>
    <xf numFmtId="0" fontId="0" fillId="4" borderId="35" xfId="0" applyFill="1" applyBorder="1"/>
    <xf numFmtId="0" fontId="0" fillId="4" borderId="29" xfId="0" applyFill="1" applyBorder="1"/>
    <xf numFmtId="44" fontId="0" fillId="4" borderId="29" xfId="1" applyFont="1" applyFill="1" applyBorder="1"/>
    <xf numFmtId="44" fontId="0" fillId="4" borderId="30" xfId="1" applyFont="1" applyFill="1" applyBorder="1"/>
    <xf numFmtId="0" fontId="0" fillId="4" borderId="28" xfId="0" applyFill="1" applyBorder="1"/>
    <xf numFmtId="9" fontId="0" fillId="4" borderId="30" xfId="3" applyFont="1" applyFill="1" applyBorder="1"/>
    <xf numFmtId="0" fontId="0" fillId="4" borderId="36" xfId="0" applyFill="1" applyBorder="1"/>
    <xf numFmtId="0" fontId="0" fillId="4" borderId="30" xfId="0" applyFill="1" applyBorder="1"/>
    <xf numFmtId="0" fontId="2" fillId="0" borderId="40" xfId="0" applyFont="1" applyBorder="1"/>
    <xf numFmtId="0" fontId="2" fillId="0" borderId="12" xfId="0" applyFont="1" applyBorder="1"/>
    <xf numFmtId="0" fontId="2" fillId="0" borderId="41" xfId="0" applyFont="1" applyBorder="1"/>
    <xf numFmtId="0" fontId="0" fillId="0" borderId="42" xfId="0" applyBorder="1"/>
    <xf numFmtId="44" fontId="0" fillId="0" borderId="43" xfId="1" applyFont="1" applyFill="1" applyBorder="1"/>
    <xf numFmtId="44" fontId="0" fillId="0" borderId="44" xfId="1" applyFont="1" applyFill="1" applyBorder="1"/>
    <xf numFmtId="9" fontId="0" fillId="0" borderId="43" xfId="3" applyFont="1" applyFill="1" applyBorder="1" applyAlignment="1">
      <alignment horizontal="center"/>
    </xf>
    <xf numFmtId="0" fontId="0" fillId="0" borderId="45" xfId="0" applyBorder="1"/>
    <xf numFmtId="44" fontId="0" fillId="0" borderId="46" xfId="1" applyFont="1" applyFill="1" applyBorder="1"/>
    <xf numFmtId="44" fontId="0" fillId="0" borderId="47" xfId="1" applyFont="1" applyFill="1" applyBorder="1"/>
    <xf numFmtId="0" fontId="0" fillId="0" borderId="48" xfId="0" applyBorder="1"/>
    <xf numFmtId="9" fontId="0" fillId="0" borderId="10" xfId="3" applyFont="1" applyFill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9" fontId="0" fillId="0" borderId="33" xfId="3" applyFont="1" applyFill="1" applyBorder="1" applyAlignment="1">
      <alignment horizontal="center"/>
    </xf>
    <xf numFmtId="0" fontId="0" fillId="0" borderId="32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2" fillId="4" borderId="35" xfId="0" applyFont="1" applyFill="1" applyBorder="1"/>
    <xf numFmtId="0" fontId="2" fillId="4" borderId="34" xfId="0" applyFont="1" applyFill="1" applyBorder="1"/>
    <xf numFmtId="0" fontId="0" fillId="0" borderId="0" xfId="0" applyAlignment="1">
      <alignment vertical="top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58" xfId="0" applyFont="1" applyFill="1" applyBorder="1"/>
    <xf numFmtId="0" fontId="0" fillId="8" borderId="59" xfId="0" applyFill="1" applyBorder="1"/>
    <xf numFmtId="0" fontId="0" fillId="0" borderId="59" xfId="0" applyBorder="1"/>
    <xf numFmtId="0" fontId="24" fillId="4" borderId="0" xfId="0" applyFont="1" applyFill="1"/>
    <xf numFmtId="49" fontId="0" fillId="4" borderId="35" xfId="0" applyNumberFormat="1" applyFill="1" applyBorder="1"/>
    <xf numFmtId="49" fontId="0" fillId="4" borderId="36" xfId="0" applyNumberFormat="1" applyFill="1" applyBorder="1"/>
    <xf numFmtId="0" fontId="20" fillId="0" borderId="0" xfId="4" applyFont="1" applyAlignment="1" applyProtection="1"/>
    <xf numFmtId="0" fontId="3" fillId="0" borderId="0" xfId="0" applyFont="1"/>
    <xf numFmtId="0" fontId="2" fillId="0" borderId="0" xfId="0" applyFont="1"/>
    <xf numFmtId="0" fontId="22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Fill="1" applyAlignment="1" applyProtection="1">
      <alignment vertical="center"/>
    </xf>
    <xf numFmtId="164" fontId="4" fillId="0" borderId="0" xfId="2" applyAlignment="1" applyProtection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164" fontId="4" fillId="0" borderId="0" xfId="2" applyProtection="1"/>
    <xf numFmtId="164" fontId="4" fillId="0" borderId="0" xfId="2" applyBorder="1" applyProtection="1"/>
    <xf numFmtId="0" fontId="10" fillId="0" borderId="0" xfId="0" applyFont="1" applyAlignment="1">
      <alignment vertical="center"/>
    </xf>
    <xf numFmtId="164" fontId="4" fillId="0" borderId="0" xfId="2" applyFill="1" applyBorder="1" applyProtection="1"/>
    <xf numFmtId="0" fontId="10" fillId="0" borderId="5" xfId="0" applyFont="1" applyBorder="1" applyAlignment="1">
      <alignment vertical="center"/>
    </xf>
    <xf numFmtId="0" fontId="11" fillId="0" borderId="73" xfId="0" applyFont="1" applyBorder="1"/>
    <xf numFmtId="0" fontId="11" fillId="0" borderId="6" xfId="0" applyFont="1" applyBorder="1"/>
    <xf numFmtId="0" fontId="11" fillId="0" borderId="74" xfId="0" applyFont="1" applyBorder="1"/>
    <xf numFmtId="0" fontId="11" fillId="0" borderId="0" xfId="0" applyFont="1"/>
    <xf numFmtId="0" fontId="11" fillId="0" borderId="27" xfId="0" applyFont="1" applyBorder="1"/>
    <xf numFmtId="0" fontId="4" fillId="0" borderId="0" xfId="2" applyNumberFormat="1" applyFill="1" applyBorder="1" applyProtection="1"/>
    <xf numFmtId="44" fontId="0" fillId="0" borderId="0" xfId="1" applyFont="1" applyFill="1" applyBorder="1" applyProtection="1"/>
    <xf numFmtId="44" fontId="10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5" xfId="0" applyFont="1" applyBorder="1"/>
    <xf numFmtId="0" fontId="0" fillId="0" borderId="5" xfId="0" applyBorder="1"/>
    <xf numFmtId="0" fontId="7" fillId="0" borderId="2" xfId="0" applyFont="1" applyBorder="1"/>
    <xf numFmtId="44" fontId="7" fillId="0" borderId="2" xfId="0" applyNumberFormat="1" applyFont="1" applyBorder="1"/>
    <xf numFmtId="0" fontId="25" fillId="0" borderId="0" xfId="0" quotePrefix="1" applyFont="1" applyAlignment="1">
      <alignment horizontal="left" indent="1"/>
    </xf>
    <xf numFmtId="0" fontId="7" fillId="0" borderId="0" xfId="0" applyFont="1"/>
    <xf numFmtId="44" fontId="7" fillId="0" borderId="0" xfId="0" applyNumberFormat="1" applyFont="1"/>
    <xf numFmtId="0" fontId="25" fillId="0" borderId="0" xfId="0" applyFont="1" applyAlignment="1">
      <alignment horizontal="left" indent="1"/>
    </xf>
    <xf numFmtId="0" fontId="7" fillId="0" borderId="4" xfId="0" applyFont="1" applyBorder="1"/>
    <xf numFmtId="44" fontId="7" fillId="0" borderId="4" xfId="0" applyNumberFormat="1" applyFont="1" applyBorder="1"/>
    <xf numFmtId="165" fontId="0" fillId="0" borderId="4" xfId="0" applyNumberFormat="1" applyBorder="1" applyAlignment="1">
      <alignment horizontal="left" indent="1"/>
    </xf>
    <xf numFmtId="0" fontId="8" fillId="0" borderId="0" xfId="0" applyFont="1" applyAlignment="1">
      <alignment horizontal="right"/>
    </xf>
    <xf numFmtId="44" fontId="8" fillId="0" borderId="0" xfId="0" applyNumberFormat="1" applyFont="1"/>
    <xf numFmtId="0" fontId="7" fillId="0" borderId="69" xfId="0" applyFont="1" applyBorder="1" applyAlignment="1">
      <alignment horizontal="left" indent="1"/>
    </xf>
    <xf numFmtId="0" fontId="6" fillId="0" borderId="5" xfId="0" applyFont="1" applyBorder="1"/>
    <xf numFmtId="44" fontId="7" fillId="0" borderId="5" xfId="0" applyNumberFormat="1" applyFont="1" applyBorder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44" fontId="8" fillId="0" borderId="4" xfId="0" applyNumberFormat="1" applyFont="1" applyBorder="1"/>
    <xf numFmtId="0" fontId="0" fillId="0" borderId="4" xfId="0" applyBorder="1"/>
    <xf numFmtId="0" fontId="9" fillId="0" borderId="0" xfId="0" applyFont="1" applyAlignment="1">
      <alignment horizontal="right"/>
    </xf>
    <xf numFmtId="44" fontId="9" fillId="0" borderId="0" xfId="0" applyNumberFormat="1" applyFont="1"/>
    <xf numFmtId="0" fontId="7" fillId="0" borderId="0" xfId="0" applyFont="1" applyAlignment="1">
      <alignment horizontal="right"/>
    </xf>
    <xf numFmtId="44" fontId="6" fillId="0" borderId="0" xfId="1" applyFont="1" applyFill="1" applyAlignment="1" applyProtection="1"/>
    <xf numFmtId="0" fontId="0" fillId="0" borderId="4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5" xfId="0" applyBorder="1"/>
    <xf numFmtId="0" fontId="0" fillId="0" borderId="16" xfId="0" applyBorder="1"/>
    <xf numFmtId="0" fontId="0" fillId="9" borderId="0" xfId="0" applyFill="1"/>
    <xf numFmtId="0" fontId="0" fillId="9" borderId="53" xfId="0" applyFill="1" applyBorder="1"/>
    <xf numFmtId="0" fontId="2" fillId="9" borderId="5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0" fillId="9" borderId="16" xfId="0" applyFill="1" applyBorder="1"/>
    <xf numFmtId="0" fontId="2" fillId="9" borderId="40" xfId="0" applyFont="1" applyFill="1" applyBorder="1"/>
    <xf numFmtId="0" fontId="11" fillId="9" borderId="42" xfId="0" applyFont="1" applyFill="1" applyBorder="1"/>
    <xf numFmtId="0" fontId="11" fillId="9" borderId="1" xfId="0" applyFont="1" applyFill="1" applyBorder="1"/>
    <xf numFmtId="0" fontId="11" fillId="9" borderId="44" xfId="0" applyFont="1" applyFill="1" applyBorder="1"/>
    <xf numFmtId="0" fontId="11" fillId="9" borderId="0" xfId="0" applyFont="1" applyFill="1"/>
    <xf numFmtId="0" fontId="0" fillId="9" borderId="60" xfId="0" applyFill="1" applyBorder="1"/>
    <xf numFmtId="0" fontId="0" fillId="9" borderId="42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44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61" xfId="0" applyFill="1" applyBorder="1"/>
    <xf numFmtId="0" fontId="0" fillId="9" borderId="0" xfId="0" applyFill="1" applyAlignment="1">
      <alignment horizontal="center" vertical="center"/>
    </xf>
    <xf numFmtId="0" fontId="0" fillId="9" borderId="54" xfId="0" applyFill="1" applyBorder="1"/>
    <xf numFmtId="0" fontId="0" fillId="9" borderId="55" xfId="0" applyFill="1" applyBorder="1"/>
    <xf numFmtId="0" fontId="0" fillId="9" borderId="56" xfId="0" applyFill="1" applyBorder="1"/>
    <xf numFmtId="0" fontId="0" fillId="0" borderId="63" xfId="0" applyBorder="1"/>
    <xf numFmtId="0" fontId="2" fillId="0" borderId="62" xfId="0" applyFont="1" applyBorder="1"/>
    <xf numFmtId="0" fontId="2" fillId="0" borderId="18" xfId="0" applyFont="1" applyBorder="1"/>
    <xf numFmtId="0" fontId="2" fillId="0" borderId="5" xfId="0" applyFont="1" applyBorder="1"/>
    <xf numFmtId="0" fontId="0" fillId="0" borderId="66" xfId="0" applyBorder="1"/>
    <xf numFmtId="0" fontId="0" fillId="0" borderId="67" xfId="0" applyBorder="1"/>
    <xf numFmtId="0" fontId="0" fillId="0" borderId="13" xfId="0" applyBorder="1"/>
    <xf numFmtId="44" fontId="0" fillId="0" borderId="17" xfId="0" applyNumberFormat="1" applyBorder="1"/>
    <xf numFmtId="44" fontId="0" fillId="0" borderId="0" xfId="0" applyNumberFormat="1"/>
    <xf numFmtId="0" fontId="12" fillId="0" borderId="0" xfId="0" applyFont="1"/>
    <xf numFmtId="0" fontId="0" fillId="0" borderId="64" xfId="0" applyBorder="1"/>
    <xf numFmtId="44" fontId="0" fillId="0" borderId="18" xfId="0" applyNumberFormat="1" applyBorder="1"/>
    <xf numFmtId="0" fontId="5" fillId="0" borderId="68" xfId="0" applyFont="1" applyBorder="1" applyAlignment="1">
      <alignment horizontal="right"/>
    </xf>
    <xf numFmtId="44" fontId="5" fillId="0" borderId="22" xfId="1" applyFont="1" applyBorder="1" applyProtection="1"/>
    <xf numFmtId="44" fontId="5" fillId="0" borderId="20" xfId="1" applyFont="1" applyBorder="1" applyProtection="1"/>
    <xf numFmtId="0" fontId="5" fillId="0" borderId="19" xfId="0" applyFont="1" applyBorder="1"/>
    <xf numFmtId="0" fontId="5" fillId="0" borderId="21" xfId="0" applyFont="1" applyBorder="1"/>
    <xf numFmtId="0" fontId="5" fillId="0" borderId="65" xfId="0" applyFont="1" applyBorder="1"/>
    <xf numFmtId="44" fontId="5" fillId="0" borderId="22" xfId="0" applyNumberFormat="1" applyFont="1" applyBorder="1"/>
    <xf numFmtId="44" fontId="5" fillId="0" borderId="19" xfId="0" applyNumberFormat="1" applyFont="1" applyBorder="1"/>
    <xf numFmtId="0" fontId="0" fillId="0" borderId="19" xfId="0" applyBorder="1"/>
    <xf numFmtId="9" fontId="0" fillId="0" borderId="17" xfId="3" applyFont="1" applyBorder="1" applyAlignment="1" applyProtection="1"/>
    <xf numFmtId="9" fontId="0" fillId="0" borderId="0" xfId="3" applyFont="1" applyBorder="1" applyAlignment="1" applyProtection="1"/>
    <xf numFmtId="44" fontId="11" fillId="0" borderId="0" xfId="0" applyNumberFormat="1" applyFont="1"/>
    <xf numFmtId="9" fontId="0" fillId="0" borderId="23" xfId="3" applyFont="1" applyBorder="1" applyAlignment="1" applyProtection="1"/>
    <xf numFmtId="9" fontId="0" fillId="0" borderId="18" xfId="3" applyFont="1" applyBorder="1" applyAlignment="1" applyProtection="1"/>
    <xf numFmtId="9" fontId="0" fillId="0" borderId="5" xfId="3" applyFont="1" applyBorder="1" applyAlignment="1" applyProtection="1"/>
    <xf numFmtId="9" fontId="0" fillId="0" borderId="24" xfId="3" applyFont="1" applyBorder="1" applyAlignment="1" applyProtection="1"/>
    <xf numFmtId="0" fontId="12" fillId="0" borderId="19" xfId="0" applyFont="1" applyBorder="1" applyAlignment="1">
      <alignment horizontal="left"/>
    </xf>
    <xf numFmtId="44" fontId="5" fillId="0" borderId="19" xfId="1" applyFont="1" applyBorder="1" applyProtection="1"/>
    <xf numFmtId="0" fontId="12" fillId="0" borderId="19" xfId="0" applyFont="1" applyBorder="1"/>
    <xf numFmtId="44" fontId="0" fillId="0" borderId="0" xfId="1" applyFont="1" applyBorder="1" applyProtection="1"/>
    <xf numFmtId="0" fontId="0" fillId="0" borderId="24" xfId="0" applyBorder="1"/>
    <xf numFmtId="44" fontId="0" fillId="0" borderId="24" xfId="0" applyNumberFormat="1" applyBorder="1"/>
    <xf numFmtId="0" fontId="5" fillId="0" borderId="20" xfId="0" applyFont="1" applyBorder="1"/>
    <xf numFmtId="0" fontId="13" fillId="0" borderId="68" xfId="0" applyFont="1" applyBorder="1" applyAlignment="1">
      <alignment horizontal="right"/>
    </xf>
    <xf numFmtId="44" fontId="13" fillId="0" borderId="22" xfId="0" applyNumberFormat="1" applyFont="1" applyBorder="1"/>
    <xf numFmtId="44" fontId="13" fillId="0" borderId="20" xfId="0" applyNumberFormat="1" applyFont="1" applyBorder="1"/>
    <xf numFmtId="0" fontId="13" fillId="0" borderId="19" xfId="0" applyFont="1" applyBorder="1"/>
    <xf numFmtId="0" fontId="13" fillId="0" borderId="21" xfId="0" applyFont="1" applyBorder="1"/>
    <xf numFmtId="0" fontId="13" fillId="0" borderId="65" xfId="0" applyFont="1" applyBorder="1"/>
    <xf numFmtId="44" fontId="13" fillId="0" borderId="19" xfId="0" applyNumberFormat="1" applyFont="1" applyBorder="1"/>
    <xf numFmtId="0" fontId="14" fillId="0" borderId="19" xfId="0" applyFont="1" applyBorder="1"/>
    <xf numFmtId="0" fontId="2" fillId="0" borderId="13" xfId="0" applyFont="1" applyBorder="1"/>
    <xf numFmtId="0" fontId="11" fillId="0" borderId="16" xfId="0" applyFont="1" applyBorder="1"/>
    <xf numFmtId="0" fontId="11" fillId="0" borderId="64" xfId="0" applyFont="1" applyBorder="1"/>
    <xf numFmtId="0" fontId="11" fillId="0" borderId="13" xfId="0" applyFont="1" applyBorder="1"/>
    <xf numFmtId="0" fontId="6" fillId="0" borderId="0" xfId="0" applyFont="1" applyAlignment="1">
      <alignment horizontal="right" vertical="center"/>
    </xf>
    <xf numFmtId="0" fontId="8" fillId="0" borderId="5" xfId="0" applyFont="1" applyBorder="1" applyAlignment="1">
      <alignment horizontal="left" indent="1"/>
    </xf>
    <xf numFmtId="0" fontId="2" fillId="4" borderId="2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/>
    </xf>
    <xf numFmtId="9" fontId="0" fillId="0" borderId="14" xfId="3" applyFont="1" applyFill="1" applyBorder="1" applyAlignment="1">
      <alignment horizontal="center"/>
    </xf>
    <xf numFmtId="9" fontId="0" fillId="0" borderId="43" xfId="3" applyFont="1" applyFill="1" applyBorder="1" applyAlignment="1">
      <alignment horizontal="center"/>
    </xf>
    <xf numFmtId="0" fontId="2" fillId="7" borderId="49" xfId="0" applyFont="1" applyFill="1" applyBorder="1" applyAlignment="1">
      <alignment horizontal="left"/>
    </xf>
    <xf numFmtId="0" fontId="2" fillId="7" borderId="50" xfId="0" applyFont="1" applyFill="1" applyBorder="1" applyAlignment="1">
      <alignment horizontal="left"/>
    </xf>
    <xf numFmtId="0" fontId="2" fillId="7" borderId="51" xfId="0" applyFont="1" applyFill="1" applyBorder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4" xfId="0" applyFont="1" applyBorder="1" applyAlignment="1">
      <alignment horizontal="left" indent="1"/>
    </xf>
    <xf numFmtId="0" fontId="26" fillId="0" borderId="5" xfId="4" applyFont="1" applyFill="1" applyBorder="1" applyAlignment="1" applyProtection="1">
      <alignment horizontal="left" indent="1"/>
    </xf>
    <xf numFmtId="0" fontId="25" fillId="0" borderId="0" xfId="0" quotePrefix="1" applyFont="1" applyAlignment="1">
      <alignment horizontal="left" indent="1"/>
    </xf>
    <xf numFmtId="0" fontId="25" fillId="0" borderId="4" xfId="0" quotePrefix="1" applyFont="1" applyBorder="1" applyAlignment="1">
      <alignment horizontal="left" indent="1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0" fillId="0" borderId="0" xfId="4" applyFont="1" applyAlignment="1" applyProtection="1">
      <alignment horizontal="left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1" fillId="0" borderId="57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1" fillId="0" borderId="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55" xfId="0" applyFont="1" applyBorder="1" applyAlignment="1">
      <alignment horizontal="left"/>
    </xf>
    <xf numFmtId="0" fontId="2" fillId="9" borderId="58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0" fillId="9" borderId="6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5">
    <cellStyle name="Euro" xfId="2" xr:uid="{B95E5EA8-4352-46EF-84B1-048CA46DF4E7}"/>
    <cellStyle name="Link" xfId="4" builtinId="8"/>
    <cellStyle name="Prozent" xfId="3" builtinId="5"/>
    <cellStyle name="Standard" xfId="0" builtinId="0"/>
    <cellStyle name="Währung" xfId="1" builtinId="4"/>
  </cellStyles>
  <dxfs count="26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lightUp">
          <fgColor theme="2" tint="-0.24994659260841701"/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38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E9B84-9232-48B2-8BCA-A29B6F729719}" name="Tabelle4" displayName="Tabelle4" ref="T2:T20" totalsRowShown="0" headerRowDxfId="25" dataDxfId="24" tableBorderDxfId="23">
  <autoFilter ref="T2:T20" xr:uid="{9918B107-A8D9-4771-9188-11FDA0DBA006}"/>
  <tableColumns count="1">
    <tableColumn id="1" xr3:uid="{5D671B8A-6611-4244-B885-9C528876BFA4}" name="Alle Trainer Hilfsspalte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@sg-weiterstadt.de?subject=[Geb&#252;hren]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nnis@sg-weiterstadt.de?subject=[Geb&#252;hren]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FB3D-9130-4386-AFC7-7B1DE84D0906}">
  <dimension ref="B1:L21"/>
  <sheetViews>
    <sheetView showGridLines="0" workbookViewId="0">
      <selection activeCell="F10" sqref="F10"/>
    </sheetView>
  </sheetViews>
  <sheetFormatPr baseColWidth="10" defaultRowHeight="14.4" x14ac:dyDescent="0.3"/>
  <cols>
    <col min="1" max="1" width="3.5546875" customWidth="1"/>
    <col min="2" max="2" width="26.6640625" customWidth="1"/>
  </cols>
  <sheetData>
    <row r="1" spans="2:12" ht="9.75" customHeight="1" x14ac:dyDescent="0.3">
      <c r="C1" s="57"/>
      <c r="D1" s="57"/>
      <c r="E1" s="57"/>
      <c r="F1" s="57"/>
      <c r="G1" s="57"/>
      <c r="H1" s="57"/>
      <c r="I1" s="57"/>
      <c r="J1" s="57"/>
      <c r="K1" s="57"/>
    </row>
    <row r="2" spans="2:12" ht="18" x14ac:dyDescent="0.35">
      <c r="B2" s="206" t="s">
        <v>88</v>
      </c>
      <c r="C2" s="206"/>
      <c r="D2" s="206"/>
      <c r="E2" s="206"/>
      <c r="F2" s="57"/>
      <c r="G2" s="57"/>
      <c r="H2" s="57"/>
      <c r="I2" s="57"/>
      <c r="J2" s="57"/>
      <c r="K2" s="57"/>
    </row>
    <row r="3" spans="2:12" ht="5.25" customHeight="1" x14ac:dyDescent="0.3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2:12" x14ac:dyDescent="0.3">
      <c r="B4" s="205" t="s">
        <v>87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2:12" x14ac:dyDescent="0.3"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2:12" ht="18" x14ac:dyDescent="0.35">
      <c r="B6" s="206" t="s">
        <v>106</v>
      </c>
      <c r="C6" s="206"/>
      <c r="D6" s="206"/>
      <c r="E6" s="206"/>
    </row>
    <row r="7" spans="2:12" ht="4.5" customHeight="1" thickBot="1" x14ac:dyDescent="0.35"/>
    <row r="8" spans="2:12" x14ac:dyDescent="0.3">
      <c r="B8" s="39" t="s">
        <v>24</v>
      </c>
      <c r="C8" s="40">
        <f>Stammdaten!H3</f>
        <v>2021</v>
      </c>
      <c r="D8" s="40">
        <f>Stammdaten!I3</f>
        <v>2022</v>
      </c>
      <c r="E8" s="41" t="str">
        <f>Stammdaten!J3</f>
        <v>ab 2023</v>
      </c>
    </row>
    <row r="9" spans="2:12" x14ac:dyDescent="0.3">
      <c r="B9" s="42" t="s">
        <v>73</v>
      </c>
      <c r="C9" s="1">
        <f>Stammdaten!$M$3</f>
        <v>10</v>
      </c>
      <c r="D9" s="1">
        <f>Stammdaten!$M$3</f>
        <v>10</v>
      </c>
      <c r="E9" s="43">
        <f>Stammdaten!$M$3</f>
        <v>10</v>
      </c>
    </row>
    <row r="10" spans="2:12" x14ac:dyDescent="0.3">
      <c r="B10" s="8" t="str">
        <f>Stammdaten!G4</f>
        <v>Junior-Trainer</v>
      </c>
      <c r="C10" s="2">
        <v>10</v>
      </c>
      <c r="D10" s="2">
        <v>11</v>
      </c>
      <c r="E10" s="44">
        <v>12</v>
      </c>
    </row>
    <row r="11" spans="2:12" x14ac:dyDescent="0.3">
      <c r="B11" s="8" t="str">
        <f>Stammdaten!G5</f>
        <v>Co-Trainer</v>
      </c>
      <c r="C11" s="2">
        <v>15</v>
      </c>
      <c r="D11" s="2">
        <v>17</v>
      </c>
      <c r="E11" s="10">
        <v>20</v>
      </c>
    </row>
    <row r="12" spans="2:12" ht="15" thickBot="1" x14ac:dyDescent="0.35">
      <c r="B12" s="46" t="str">
        <f>Stammdaten!G6</f>
        <v>Senior-Trainer</v>
      </c>
      <c r="C12" s="47">
        <v>25</v>
      </c>
      <c r="D12" s="47">
        <v>27</v>
      </c>
      <c r="E12" s="48">
        <v>30</v>
      </c>
    </row>
    <row r="13" spans="2:12" ht="15" thickBot="1" x14ac:dyDescent="0.35">
      <c r="B13" s="6"/>
      <c r="E13" s="7"/>
    </row>
    <row r="14" spans="2:12" x14ac:dyDescent="0.3">
      <c r="B14" s="39" t="s">
        <v>31</v>
      </c>
      <c r="C14" s="49"/>
      <c r="D14" s="3"/>
      <c r="E14" s="9"/>
    </row>
    <row r="15" spans="2:12" x14ac:dyDescent="0.3">
      <c r="B15" s="42" t="s">
        <v>32</v>
      </c>
      <c r="C15" s="4">
        <f>Stammdaten!L3</f>
        <v>0.2</v>
      </c>
      <c r="D15" s="5"/>
      <c r="E15" s="45"/>
    </row>
    <row r="16" spans="2:12" x14ac:dyDescent="0.3">
      <c r="B16" s="42" t="s">
        <v>33</v>
      </c>
      <c r="C16" s="4">
        <f>Stammdaten!L4</f>
        <v>0.1</v>
      </c>
      <c r="D16" s="207" t="s">
        <v>78</v>
      </c>
      <c r="E16" s="208"/>
    </row>
    <row r="17" spans="2:5" x14ac:dyDescent="0.3">
      <c r="B17" s="42" t="s">
        <v>37</v>
      </c>
      <c r="C17" s="4">
        <f>Stammdaten!L5</f>
        <v>0.1</v>
      </c>
      <c r="D17" s="207" t="s">
        <v>78</v>
      </c>
      <c r="E17" s="208"/>
    </row>
    <row r="18" spans="2:5" ht="15" thickBot="1" x14ac:dyDescent="0.35">
      <c r="B18" s="46" t="s">
        <v>39</v>
      </c>
      <c r="C18" s="50">
        <f>Stammdaten!L6</f>
        <v>0.1</v>
      </c>
      <c r="D18" s="51"/>
      <c r="E18" s="52"/>
    </row>
    <row r="19" spans="2:5" ht="15" thickBot="1" x14ac:dyDescent="0.35">
      <c r="B19" s="6"/>
      <c r="E19" s="7"/>
    </row>
    <row r="20" spans="2:5" x14ac:dyDescent="0.3">
      <c r="B20" s="53" t="s">
        <v>67</v>
      </c>
      <c r="C20" s="209" t="s">
        <v>76</v>
      </c>
      <c r="D20" s="210"/>
      <c r="E20" s="211"/>
    </row>
    <row r="21" spans="2:5" ht="14.25" customHeight="1" thickBot="1" x14ac:dyDescent="0.35">
      <c r="B21" s="46" t="s">
        <v>68</v>
      </c>
      <c r="C21" s="202" t="s">
        <v>77</v>
      </c>
      <c r="D21" s="203"/>
      <c r="E21" s="204"/>
    </row>
  </sheetData>
  <sheetProtection algorithmName="SHA-512" hashValue="Hmu0F3HlGXdCM2VqKtnHyPc4+XiKTAYez8F/vrFY4OsXtekVsjldmNNq1bJxFsBQM0S4KomSGXSZLIB5chnDFA==" saltValue="LNjGrJujwuxxEpsCWH3JSQ==" spinCount="100000" sheet="1" objects="1" scenarios="1"/>
  <mergeCells count="7">
    <mergeCell ref="C21:E21"/>
    <mergeCell ref="B4:L4"/>
    <mergeCell ref="B2:E2"/>
    <mergeCell ref="B6:E6"/>
    <mergeCell ref="D16:E16"/>
    <mergeCell ref="D17:E17"/>
    <mergeCell ref="C20:E20"/>
  </mergeCells>
  <conditionalFormatting sqref="C21">
    <cfRule type="notContainsBlanks" dxfId="21" priority="1">
      <formula>LEN(TRIM(C21))&gt;0</formula>
    </cfRule>
    <cfRule type="containsBlanks" dxfId="20" priority="2">
      <formula>LEN(TRIM(C21))=0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234-C677-43FF-BB1A-EED3888BF968}">
  <sheetPr codeName="Tabelle1"/>
  <dimension ref="C1:R42"/>
  <sheetViews>
    <sheetView showGridLines="0" topLeftCell="A4" workbookViewId="0">
      <selection activeCell="E13" sqref="E13"/>
    </sheetView>
  </sheetViews>
  <sheetFormatPr baseColWidth="10" defaultColWidth="11.44140625" defaultRowHeight="14.4" x14ac:dyDescent="0.3"/>
  <cols>
    <col min="1" max="1" width="1.5546875" customWidth="1"/>
    <col min="2" max="2" width="1.109375" customWidth="1"/>
    <col min="3" max="3" width="42.5546875" customWidth="1"/>
    <col min="4" max="4" width="17.88671875" customWidth="1"/>
    <col min="5" max="5" width="12.6640625" customWidth="1"/>
    <col min="6" max="6" width="14.33203125" bestFit="1" customWidth="1"/>
    <col min="7" max="7" width="15.109375" customWidth="1"/>
    <col min="8" max="8" width="12.44140625" customWidth="1"/>
    <col min="9" max="9" width="3" customWidth="1"/>
    <col min="10" max="10" width="12.109375" customWidth="1"/>
    <col min="11" max="11" width="14.33203125" bestFit="1" customWidth="1"/>
    <col min="12" max="12" width="13.88671875" customWidth="1"/>
    <col min="13" max="13" width="13.109375" customWidth="1"/>
    <col min="14" max="14" width="1.5546875" customWidth="1"/>
    <col min="15" max="15" width="1.88671875" customWidth="1"/>
  </cols>
  <sheetData>
    <row r="1" spans="3:18" x14ac:dyDescent="0.3">
      <c r="C1" s="229" t="s">
        <v>74</v>
      </c>
      <c r="D1" s="229"/>
      <c r="E1" s="229"/>
      <c r="F1" s="66"/>
      <c r="G1" s="66"/>
    </row>
    <row r="2" spans="3:18" ht="18" x14ac:dyDescent="0.35">
      <c r="C2" s="236" t="s">
        <v>71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3:18" ht="12" customHeight="1" x14ac:dyDescent="0.3">
      <c r="J3" s="67"/>
      <c r="K3" s="67"/>
      <c r="L3" s="67"/>
      <c r="M3" s="67"/>
    </row>
    <row r="4" spans="3:18" ht="22.5" customHeight="1" x14ac:dyDescent="0.3">
      <c r="C4" s="219" t="s">
        <v>107</v>
      </c>
      <c r="D4" s="219"/>
      <c r="E4" s="219"/>
      <c r="K4" s="68"/>
    </row>
    <row r="5" spans="3:18" ht="15.75" customHeight="1" x14ac:dyDescent="0.3">
      <c r="C5" s="69" t="s">
        <v>91</v>
      </c>
      <c r="D5" s="70"/>
      <c r="E5" s="71" t="s">
        <v>92</v>
      </c>
      <c r="K5" s="68"/>
    </row>
    <row r="6" spans="3:18" ht="20.25" customHeight="1" x14ac:dyDescent="0.3">
      <c r="C6" s="217" t="s">
        <v>84</v>
      </c>
      <c r="D6" s="224"/>
      <c r="E6" s="54" t="s">
        <v>116</v>
      </c>
      <c r="F6" s="72"/>
      <c r="G6" s="72"/>
      <c r="H6" s="72"/>
      <c r="I6" s="72"/>
      <c r="J6" s="72"/>
      <c r="K6" s="73"/>
      <c r="L6" s="72"/>
      <c r="M6" s="72"/>
      <c r="N6" s="72"/>
      <c r="O6" s="72"/>
      <c r="P6" s="72"/>
      <c r="Q6" s="72"/>
      <c r="R6" s="72"/>
    </row>
    <row r="7" spans="3:18" ht="20.25" customHeight="1" x14ac:dyDescent="0.3">
      <c r="C7" s="217" t="s">
        <v>85</v>
      </c>
      <c r="D7" s="224"/>
      <c r="E7" s="54" t="s">
        <v>116</v>
      </c>
      <c r="F7" s="233" t="str">
        <f>IF(AND(E6="Nein",E7="Ja"),"Achtung: Kombination nicht möglich","")</f>
        <v/>
      </c>
      <c r="G7" s="234"/>
      <c r="H7" s="234"/>
      <c r="I7" s="234"/>
      <c r="J7" s="234"/>
      <c r="K7" s="235"/>
      <c r="L7" s="72"/>
      <c r="M7" s="72"/>
      <c r="N7" s="72"/>
      <c r="O7" s="72"/>
      <c r="P7" s="72"/>
      <c r="Q7" s="72"/>
      <c r="R7" s="72"/>
    </row>
    <row r="8" spans="3:18" ht="20.25" customHeight="1" x14ac:dyDescent="0.3">
      <c r="C8" s="217" t="s">
        <v>86</v>
      </c>
      <c r="D8" s="224"/>
      <c r="E8" s="239" t="s">
        <v>2</v>
      </c>
      <c r="F8" s="240"/>
      <c r="G8" s="240"/>
      <c r="H8" s="240"/>
      <c r="I8" s="240"/>
      <c r="J8" s="241"/>
      <c r="L8" s="72"/>
      <c r="M8" s="74"/>
      <c r="N8" s="74"/>
    </row>
    <row r="9" spans="3:18" ht="20.25" customHeight="1" x14ac:dyDescent="0.3">
      <c r="C9" s="217" t="s">
        <v>115</v>
      </c>
      <c r="D9" s="224"/>
      <c r="E9" s="58" t="s">
        <v>116</v>
      </c>
      <c r="F9" s="243"/>
      <c r="G9" s="244"/>
      <c r="H9" s="244"/>
      <c r="I9" s="244"/>
      <c r="J9" s="244"/>
      <c r="K9" s="73"/>
      <c r="L9" s="72"/>
      <c r="M9" s="74"/>
      <c r="N9" s="74"/>
      <c r="O9" s="72"/>
      <c r="P9" s="72"/>
      <c r="Q9" s="72"/>
      <c r="R9" s="72"/>
    </row>
    <row r="10" spans="3:18" ht="20.25" customHeight="1" x14ac:dyDescent="0.3">
      <c r="C10" s="225" t="s">
        <v>90</v>
      </c>
      <c r="D10" s="226"/>
      <c r="E10" s="59" t="s">
        <v>116</v>
      </c>
      <c r="F10" s="243" t="str">
        <f>IF(E10="Ja","Hinweis: Hierbei fallen zusätzliche Trainingsgebühren an!",IF(E10="Nein","Hinweis: Du kannst den Schritt 3 überspringen.",""))</f>
        <v>Hinweis: Hierbei fallen zusätzliche Trainingsgebühren an!</v>
      </c>
      <c r="G10" s="244"/>
      <c r="H10" s="244"/>
      <c r="I10" s="244"/>
      <c r="J10" s="244"/>
      <c r="K10" s="72"/>
      <c r="L10" s="72"/>
      <c r="M10" s="74"/>
      <c r="N10" s="74"/>
      <c r="O10" s="72"/>
      <c r="P10" s="72"/>
      <c r="Q10" s="72"/>
      <c r="R10" s="72"/>
    </row>
    <row r="11" spans="3:18" ht="15" customHeight="1" x14ac:dyDescent="0.3">
      <c r="C11" s="72"/>
      <c r="D11" s="75" t="s">
        <v>111</v>
      </c>
      <c r="E11" s="76" t="str">
        <f>IF(COUNTA(E6:E7,E8,E9:E10)=5,"Alles ausgefüllt","Nicht alles ausgefüllt")</f>
        <v>Alles ausgefüllt</v>
      </c>
      <c r="F11" s="77"/>
      <c r="G11" s="77"/>
      <c r="H11" s="77"/>
      <c r="I11" s="77"/>
      <c r="J11" s="77"/>
      <c r="K11" s="73"/>
      <c r="L11" s="72"/>
      <c r="M11" s="74"/>
      <c r="N11" s="74"/>
      <c r="O11" s="72"/>
      <c r="P11" s="72"/>
      <c r="Q11" s="72"/>
      <c r="R11" s="72"/>
    </row>
    <row r="12" spans="3:18" ht="17.25" customHeight="1" x14ac:dyDescent="0.3">
      <c r="C12" s="242" t="str">
        <f>IF(E10="Ja","2 - Grundsätzliche Angaben zum Training","2 - Bitte überspringen")</f>
        <v>2 - Grundsätzliche Angaben zum Training</v>
      </c>
      <c r="D12" s="242"/>
      <c r="E12" s="242"/>
      <c r="F12" s="77"/>
      <c r="G12" s="77"/>
      <c r="H12" s="77"/>
      <c r="I12" s="77"/>
      <c r="J12" s="77"/>
      <c r="K12" s="73"/>
      <c r="L12" s="72"/>
      <c r="M12" s="74"/>
      <c r="N12" s="74"/>
      <c r="O12" s="72"/>
      <c r="P12" s="72"/>
      <c r="Q12" s="72"/>
      <c r="R12" s="72"/>
    </row>
    <row r="13" spans="3:18" ht="19.5" customHeight="1" x14ac:dyDescent="0.3">
      <c r="C13" s="217" t="s">
        <v>89</v>
      </c>
      <c r="D13" s="224"/>
      <c r="E13" s="54" t="s">
        <v>122</v>
      </c>
      <c r="F13" s="237" t="str">
        <f>IF(AND(E10="Nein",E13&lt;&gt;""),"Achtung: Kombination nicht möglich, da keine Teilnahme am Trainingsbetrieb. Bitte Feld leeren","")</f>
        <v/>
      </c>
      <c r="G13" s="238"/>
      <c r="H13" s="238"/>
      <c r="I13" s="238"/>
      <c r="J13" s="238"/>
      <c r="K13" s="238"/>
      <c r="L13" s="238"/>
      <c r="M13" s="238"/>
      <c r="N13" s="238"/>
      <c r="O13" s="238"/>
      <c r="P13" s="72"/>
      <c r="Q13" s="72"/>
      <c r="R13" s="72"/>
    </row>
    <row r="14" spans="3:18" ht="17.25" customHeight="1" x14ac:dyDescent="0.3">
      <c r="C14" s="217" t="s">
        <v>114</v>
      </c>
      <c r="D14" s="224"/>
      <c r="E14" s="59" t="s">
        <v>117</v>
      </c>
      <c r="F14" s="237" t="str">
        <f>IF(AND(E10="Nein",E14&lt;&gt;""),"Achtung: Kombination nicht möglich, da keine Teilnahme am Trainingsbetrieb. Bitte Feld leeren","")</f>
        <v/>
      </c>
      <c r="G14" s="238"/>
      <c r="H14" s="238"/>
      <c r="I14" s="238"/>
      <c r="J14" s="238"/>
      <c r="K14" s="238"/>
      <c r="L14" s="238"/>
      <c r="M14" s="238"/>
      <c r="N14" s="238"/>
      <c r="O14" s="238"/>
      <c r="P14" s="72"/>
      <c r="Q14" s="72"/>
      <c r="R14" s="72"/>
    </row>
    <row r="15" spans="3:18" ht="13.5" customHeight="1" x14ac:dyDescent="0.3">
      <c r="C15" s="78"/>
      <c r="D15" s="79" t="s">
        <v>111</v>
      </c>
      <c r="E15" s="80" t="str">
        <f>IF(AND(E11="Alles ausgefüllt",OR(COUNTA(E13,E14)=2,E10="Nein")),"Alles ausgefüllt","Nicht alles ausgefüllt")</f>
        <v>Alles ausgefüllt</v>
      </c>
      <c r="M15" s="81"/>
      <c r="N15" s="81"/>
    </row>
    <row r="16" spans="3:18" ht="26.25" customHeight="1" thickBot="1" x14ac:dyDescent="0.35">
      <c r="C16" s="219" t="str">
        <f>IF(E10="Ja","3 - Detaillierte Angaben zum Training","3 - Bitte überspringen")</f>
        <v>3 - Detaillierte Angaben zum Training</v>
      </c>
      <c r="D16" s="219"/>
      <c r="E16" s="220" t="str">
        <f>IF(E10="Ja","3a - Angaben zum Sommertraining (April bis Oktober)","3a - Bitte überspringen")</f>
        <v>3a - Angaben zum Sommertraining (April bis Oktober)</v>
      </c>
      <c r="F16" s="220"/>
      <c r="G16" s="220"/>
      <c r="H16" s="220"/>
      <c r="I16" s="68"/>
      <c r="J16" s="220" t="str">
        <f>IF(E10="Ja","3b - Angaben zum Wintertraining (Oktober bis April)","3b - Bitte überspringen")</f>
        <v>3b - Angaben zum Wintertraining (Oktober bis April)</v>
      </c>
      <c r="K16" s="220"/>
      <c r="L16" s="220"/>
      <c r="M16" s="220"/>
      <c r="N16" s="82"/>
    </row>
    <row r="17" spans="3:15" ht="15.75" customHeight="1" thickBot="1" x14ac:dyDescent="0.35">
      <c r="C17" s="83"/>
      <c r="D17" s="83"/>
      <c r="E17" s="221" t="str">
        <f>"Sommersaison (etwa " &amp; Stammdaten!O3 &amp; " Trainingswochen)"</f>
        <v>Sommersaison (etwa 16 Trainingswochen)</v>
      </c>
      <c r="F17" s="222"/>
      <c r="G17" s="222"/>
      <c r="H17" s="223"/>
      <c r="J17" s="230" t="str">
        <f>"Wintersaison (etwa " &amp; Stammdaten!O4 &amp; " Trainingswochen)"</f>
        <v>Wintersaison (etwa 22 Trainingswochen)</v>
      </c>
      <c r="K17" s="231"/>
      <c r="L17" s="231"/>
      <c r="M17" s="232"/>
      <c r="N17" s="84"/>
    </row>
    <row r="18" spans="3:15" ht="15" customHeight="1" x14ac:dyDescent="0.3">
      <c r="C18" s="85"/>
      <c r="D18" s="85"/>
      <c r="E18" s="86" t="s">
        <v>26</v>
      </c>
      <c r="F18" s="87" t="s">
        <v>27</v>
      </c>
      <c r="G18" s="87" t="s">
        <v>28</v>
      </c>
      <c r="H18" s="88" t="s">
        <v>96</v>
      </c>
      <c r="J18" s="86" t="s">
        <v>26</v>
      </c>
      <c r="K18" s="89" t="s">
        <v>27</v>
      </c>
      <c r="L18" s="87" t="s">
        <v>28</v>
      </c>
      <c r="M18" s="90" t="s">
        <v>96</v>
      </c>
      <c r="N18" s="91"/>
    </row>
    <row r="19" spans="3:15" x14ac:dyDescent="0.3">
      <c r="C19" s="227" t="s">
        <v>108</v>
      </c>
      <c r="D19" s="228"/>
      <c r="E19" s="124" t="s">
        <v>118</v>
      </c>
      <c r="F19" s="125">
        <v>1.5</v>
      </c>
      <c r="G19" s="125">
        <v>5</v>
      </c>
      <c r="H19" s="126" t="s">
        <v>121</v>
      </c>
      <c r="J19" s="124" t="s">
        <v>123</v>
      </c>
      <c r="K19" s="125">
        <v>1.5</v>
      </c>
      <c r="L19" s="125">
        <v>8</v>
      </c>
      <c r="M19" s="126" t="s">
        <v>81</v>
      </c>
    </row>
    <row r="20" spans="3:15" x14ac:dyDescent="0.3">
      <c r="C20" s="217" t="s">
        <v>109</v>
      </c>
      <c r="D20" s="218"/>
      <c r="E20" s="124"/>
      <c r="F20" s="125"/>
      <c r="G20" s="125"/>
      <c r="H20" s="126"/>
      <c r="J20" s="124"/>
      <c r="K20" s="125"/>
      <c r="L20" s="125"/>
      <c r="M20" s="126"/>
    </row>
    <row r="21" spans="3:15" ht="15" thickBot="1" x14ac:dyDescent="0.35">
      <c r="C21" s="217" t="s">
        <v>110</v>
      </c>
      <c r="D21" s="218"/>
      <c r="E21" s="127"/>
      <c r="F21" s="128"/>
      <c r="G21" s="128"/>
      <c r="H21" s="129"/>
      <c r="J21" s="127"/>
      <c r="K21" s="128"/>
      <c r="L21" s="128"/>
      <c r="M21" s="129"/>
    </row>
    <row r="22" spans="3:15" ht="13.5" customHeight="1" x14ac:dyDescent="0.3">
      <c r="J22" s="92"/>
      <c r="L22" s="82"/>
      <c r="M22" s="82"/>
      <c r="N22" s="82"/>
    </row>
    <row r="23" spans="3:15" ht="21" x14ac:dyDescent="0.3">
      <c r="C23" s="93" t="s">
        <v>97</v>
      </c>
    </row>
    <row r="24" spans="3:15" x14ac:dyDescent="0.3">
      <c r="C24" s="94" t="s">
        <v>12</v>
      </c>
      <c r="D24" s="199" t="s">
        <v>18</v>
      </c>
      <c r="E24" s="199" t="s">
        <v>19</v>
      </c>
      <c r="F24" s="200" t="s">
        <v>98</v>
      </c>
      <c r="G24" s="95"/>
      <c r="H24" s="95"/>
      <c r="I24" s="95"/>
      <c r="J24" s="96"/>
      <c r="K24" s="96"/>
      <c r="L24" s="96"/>
      <c r="M24" s="96"/>
      <c r="N24" s="96"/>
    </row>
    <row r="25" spans="3:15" x14ac:dyDescent="0.3">
      <c r="C25" s="97" t="s">
        <v>13</v>
      </c>
      <c r="D25" s="98">
        <f>IF(E6="Ja",0,VLOOKUP(Gebührenrechner!E8,Stammdaten!A3:B9,2,0))</f>
        <v>0</v>
      </c>
      <c r="E25" s="98">
        <f>D25*12</f>
        <v>0</v>
      </c>
      <c r="F25" s="215" t="s">
        <v>104</v>
      </c>
      <c r="G25" s="212"/>
      <c r="H25" s="212"/>
      <c r="I25" s="212"/>
      <c r="J25" s="212"/>
      <c r="K25" s="212"/>
      <c r="L25" s="212"/>
      <c r="M25" s="212"/>
      <c r="N25" s="99"/>
    </row>
    <row r="26" spans="3:15" x14ac:dyDescent="0.3">
      <c r="C26" s="100" t="s">
        <v>14</v>
      </c>
      <c r="D26" s="101">
        <f>IF(E8=Stammdaten!A4,Stammdaten!D4,Stammdaten!D3)</f>
        <v>9.1999999999999993</v>
      </c>
      <c r="E26" s="101">
        <f>D26*12</f>
        <v>110.39999999999999</v>
      </c>
      <c r="F26" s="215" t="s">
        <v>112</v>
      </c>
      <c r="G26" s="212"/>
      <c r="H26" s="212"/>
      <c r="I26" s="212"/>
      <c r="J26" s="212"/>
      <c r="K26" s="212"/>
      <c r="L26" s="212"/>
      <c r="M26" s="212"/>
      <c r="N26" s="102"/>
      <c r="O26" s="80"/>
    </row>
    <row r="27" spans="3:15" ht="15" thickBot="1" x14ac:dyDescent="0.35">
      <c r="C27" s="103" t="s">
        <v>21</v>
      </c>
      <c r="D27" s="104">
        <f>COUNTIF(E7,"JA")*Stammdaten!E3</f>
        <v>1</v>
      </c>
      <c r="E27" s="104">
        <f>D27*12</f>
        <v>12</v>
      </c>
      <c r="F27" s="216" t="s">
        <v>105</v>
      </c>
      <c r="G27" s="213"/>
      <c r="H27" s="213"/>
      <c r="I27" s="213"/>
      <c r="J27" s="213"/>
      <c r="K27" s="213"/>
      <c r="L27" s="213"/>
      <c r="M27" s="213"/>
      <c r="N27" s="105"/>
    </row>
    <row r="28" spans="3:15" ht="15" thickTop="1" x14ac:dyDescent="0.3">
      <c r="C28" s="106" t="s">
        <v>15</v>
      </c>
      <c r="D28" s="107">
        <f>SUM(D25:D27)</f>
        <v>10.199999999999999</v>
      </c>
      <c r="E28" s="107">
        <f t="shared" ref="E28:E37" si="0">D28*12</f>
        <v>122.39999999999999</v>
      </c>
      <c r="F28" s="108"/>
      <c r="G28" s="108"/>
      <c r="H28" s="108"/>
      <c r="I28" s="108"/>
      <c r="J28" s="108"/>
      <c r="K28" s="108"/>
      <c r="L28" s="108"/>
      <c r="M28" s="108"/>
      <c r="N28" s="108"/>
    </row>
    <row r="29" spans="3:15" x14ac:dyDescent="0.3">
      <c r="C29" s="109" t="s">
        <v>34</v>
      </c>
      <c r="D29" s="110"/>
      <c r="E29" s="110">
        <f t="shared" si="0"/>
        <v>0</v>
      </c>
      <c r="F29" s="214" t="s">
        <v>103</v>
      </c>
      <c r="G29" s="214"/>
      <c r="H29" s="214"/>
      <c r="I29" s="214"/>
      <c r="J29" s="214"/>
      <c r="K29" s="214"/>
      <c r="L29" s="214"/>
      <c r="M29" s="214"/>
      <c r="N29" s="214"/>
    </row>
    <row r="30" spans="3:15" x14ac:dyDescent="0.3">
      <c r="C30" s="100" t="s">
        <v>57</v>
      </c>
      <c r="D30" s="101">
        <f>E30/12</f>
        <v>0</v>
      </c>
      <c r="E30" s="101">
        <f>'Übersicht Trainingsgebühren'!D27</f>
        <v>0</v>
      </c>
      <c r="F30" s="212" t="s">
        <v>99</v>
      </c>
      <c r="G30" s="212"/>
      <c r="H30" s="212"/>
      <c r="I30" s="212"/>
      <c r="J30" s="212"/>
      <c r="K30" s="212"/>
      <c r="L30" s="212"/>
      <c r="M30" s="212"/>
      <c r="N30" s="111"/>
    </row>
    <row r="31" spans="3:15" ht="15" thickBot="1" x14ac:dyDescent="0.35">
      <c r="C31" s="103" t="s">
        <v>58</v>
      </c>
      <c r="D31" s="104">
        <f>E31/12</f>
        <v>0</v>
      </c>
      <c r="E31" s="104">
        <f>'Übersicht Trainingsgebühren'!I27</f>
        <v>0</v>
      </c>
      <c r="F31" s="213" t="s">
        <v>100</v>
      </c>
      <c r="G31" s="213"/>
      <c r="H31" s="213"/>
      <c r="I31" s="213"/>
      <c r="J31" s="213"/>
      <c r="K31" s="213"/>
      <c r="L31" s="213"/>
      <c r="M31" s="213"/>
      <c r="N31" s="112"/>
    </row>
    <row r="32" spans="3:15" ht="15" thickTop="1" x14ac:dyDescent="0.3">
      <c r="C32" s="106" t="s">
        <v>59</v>
      </c>
      <c r="D32" s="107">
        <f>SUM(D30:D31)</f>
        <v>0</v>
      </c>
      <c r="E32" s="107">
        <f>SUM(E30:E31)</f>
        <v>0</v>
      </c>
      <c r="F32" s="113"/>
      <c r="G32" s="113"/>
      <c r="H32" s="113"/>
      <c r="I32" s="113"/>
      <c r="J32" s="111"/>
      <c r="K32" s="111"/>
      <c r="L32" s="111"/>
      <c r="M32" s="111"/>
      <c r="N32" s="111"/>
    </row>
    <row r="33" spans="3:14" x14ac:dyDescent="0.3">
      <c r="C33" s="109" t="s">
        <v>60</v>
      </c>
      <c r="D33" s="110"/>
      <c r="E33" s="110">
        <f t="shared" si="0"/>
        <v>0</v>
      </c>
      <c r="F33" s="114"/>
      <c r="G33" s="114"/>
      <c r="H33" s="114"/>
      <c r="I33" s="114"/>
      <c r="J33" s="115"/>
      <c r="K33" s="115"/>
      <c r="L33" s="115"/>
      <c r="M33" s="115"/>
      <c r="N33" s="115"/>
    </row>
    <row r="34" spans="3:14" x14ac:dyDescent="0.3">
      <c r="C34" s="100" t="s">
        <v>16</v>
      </c>
      <c r="D34" s="101">
        <f>IF(E34&gt;0,E34/12,0)</f>
        <v>0</v>
      </c>
      <c r="E34" s="101">
        <f>'Übersicht Trainingsgebühren'!I24</f>
        <v>0</v>
      </c>
      <c r="F34" s="212" t="s">
        <v>101</v>
      </c>
      <c r="G34" s="212"/>
      <c r="H34" s="212"/>
      <c r="I34" s="212"/>
      <c r="J34" s="212"/>
      <c r="K34" s="212"/>
      <c r="L34" s="212"/>
      <c r="M34" s="212"/>
      <c r="N34" s="111"/>
    </row>
    <row r="35" spans="3:14" ht="15" thickBot="1" x14ac:dyDescent="0.35">
      <c r="C35" s="103" t="s">
        <v>17</v>
      </c>
      <c r="D35" s="103"/>
      <c r="E35" s="116" t="str">
        <f>IF(E9="Ja",Stammdaten!F3,0) &amp; " Std"</f>
        <v>2 Std</v>
      </c>
      <c r="F35" s="213" t="s">
        <v>113</v>
      </c>
      <c r="G35" s="213"/>
      <c r="H35" s="213"/>
      <c r="I35" s="213"/>
      <c r="J35" s="213"/>
      <c r="K35" s="213"/>
      <c r="L35" s="213"/>
      <c r="M35" s="213"/>
      <c r="N35" s="213"/>
    </row>
    <row r="36" spans="3:14" ht="15.6" thickTop="1" thickBot="1" x14ac:dyDescent="0.35">
      <c r="C36" s="117" t="s">
        <v>61</v>
      </c>
      <c r="D36" s="118">
        <f>SUM(D34:D34)</f>
        <v>0</v>
      </c>
      <c r="E36" s="118">
        <f>D36*12</f>
        <v>0</v>
      </c>
      <c r="F36" s="103"/>
      <c r="G36" s="103"/>
      <c r="H36" s="103"/>
      <c r="I36" s="103"/>
      <c r="J36" s="119"/>
      <c r="K36" s="119"/>
      <c r="L36" s="119"/>
      <c r="M36" s="119"/>
      <c r="N36" s="119"/>
    </row>
    <row r="37" spans="3:14" ht="16.2" thickTop="1" x14ac:dyDescent="0.3">
      <c r="C37" s="120" t="s">
        <v>20</v>
      </c>
      <c r="D37" s="121">
        <f>SUM(D28,D32,D36)</f>
        <v>10.199999999999999</v>
      </c>
      <c r="E37" s="121">
        <f t="shared" si="0"/>
        <v>122.39999999999999</v>
      </c>
      <c r="F37" s="101"/>
      <c r="G37" s="100"/>
      <c r="H37" s="100"/>
      <c r="I37" s="100"/>
    </row>
    <row r="38" spans="3:14" x14ac:dyDescent="0.3">
      <c r="C38" s="122"/>
      <c r="D38" s="122"/>
      <c r="E38" s="123"/>
      <c r="F38" s="101"/>
      <c r="G38" s="100"/>
      <c r="H38" s="100"/>
      <c r="I38" s="100"/>
      <c r="J38" s="100"/>
    </row>
    <row r="39" spans="3:14" x14ac:dyDescent="0.3">
      <c r="C39" s="100"/>
      <c r="D39" s="100"/>
      <c r="E39" s="100"/>
      <c r="F39" s="100"/>
      <c r="G39" s="100"/>
    </row>
    <row r="40" spans="3:14" x14ac:dyDescent="0.3">
      <c r="C40" s="100"/>
      <c r="D40" s="100"/>
      <c r="E40" s="100"/>
      <c r="F40" s="100"/>
      <c r="G40" s="100"/>
    </row>
    <row r="41" spans="3:14" x14ac:dyDescent="0.3">
      <c r="C41" s="100"/>
      <c r="D41" s="100"/>
      <c r="E41" s="100"/>
      <c r="F41" s="100"/>
      <c r="G41" s="100"/>
    </row>
    <row r="42" spans="3:14" x14ac:dyDescent="0.3">
      <c r="C42" s="100"/>
      <c r="D42" s="100"/>
      <c r="E42" s="100"/>
      <c r="F42" s="100"/>
      <c r="G42" s="100"/>
    </row>
  </sheetData>
  <sheetProtection algorithmName="SHA-512" hashValue="IXGnTnGGqGHoYdDV1vJ2NSXNqtRsi1JZDmVDs2/t6zomEPlWFrpE592W+btplIVFXDu9gVDE/dFnvoAzJ2P/Pg==" saltValue="lZ72H1v0b9uxOSQyFzlFsw==" spinCount="100000" sheet="1"/>
  <mergeCells count="33">
    <mergeCell ref="C1:E1"/>
    <mergeCell ref="J17:M17"/>
    <mergeCell ref="F7:K7"/>
    <mergeCell ref="C2:M2"/>
    <mergeCell ref="C6:D6"/>
    <mergeCell ref="C7:D7"/>
    <mergeCell ref="F13:O13"/>
    <mergeCell ref="F14:O14"/>
    <mergeCell ref="E8:J8"/>
    <mergeCell ref="C14:D14"/>
    <mergeCell ref="C12:E12"/>
    <mergeCell ref="J16:M16"/>
    <mergeCell ref="C4:E4"/>
    <mergeCell ref="F9:J9"/>
    <mergeCell ref="F10:J10"/>
    <mergeCell ref="C8:D8"/>
    <mergeCell ref="C9:D9"/>
    <mergeCell ref="C10:D10"/>
    <mergeCell ref="C13:D13"/>
    <mergeCell ref="C19:D19"/>
    <mergeCell ref="C20:D20"/>
    <mergeCell ref="C21:D21"/>
    <mergeCell ref="C16:D16"/>
    <mergeCell ref="E16:H16"/>
    <mergeCell ref="E17:H17"/>
    <mergeCell ref="F25:M25"/>
    <mergeCell ref="F34:M34"/>
    <mergeCell ref="F35:N35"/>
    <mergeCell ref="F29:N29"/>
    <mergeCell ref="F26:M26"/>
    <mergeCell ref="F27:M27"/>
    <mergeCell ref="F30:M30"/>
    <mergeCell ref="F31:M31"/>
  </mergeCells>
  <conditionalFormatting sqref="C13:E14 E17:H18 J17:M18 C19:M21">
    <cfRule type="expression" dxfId="19" priority="4">
      <formula>AND($E$10="Nein",$E$11="Alles ausgefüllt")</formula>
    </cfRule>
  </conditionalFormatting>
  <conditionalFormatting sqref="C16:N22">
    <cfRule type="expression" dxfId="18" priority="1">
      <formula>$E$15="Nicht alles ausgefüllt"</formula>
    </cfRule>
  </conditionalFormatting>
  <conditionalFormatting sqref="C23:N37">
    <cfRule type="expression" dxfId="17" priority="3">
      <formula>$E$15="Nicht alles ausgefüllt"</formula>
    </cfRule>
  </conditionalFormatting>
  <conditionalFormatting sqref="C12:O15">
    <cfRule type="expression" dxfId="16" priority="2">
      <formula>$E$11="Nicht alles ausgefüllt"</formula>
    </cfRule>
  </conditionalFormatting>
  <conditionalFormatting sqref="E6:E10">
    <cfRule type="notContainsBlanks" dxfId="15" priority="13">
      <formula>LEN(TRIM(E6))&gt;0</formula>
    </cfRule>
    <cfRule type="containsBlanks" dxfId="14" priority="14">
      <formula>LEN(TRIM(E6))=0</formula>
    </cfRule>
  </conditionalFormatting>
  <conditionalFormatting sqref="E13:E14">
    <cfRule type="notContainsBlanks" dxfId="13" priority="9">
      <formula>LEN(TRIM(E13))&gt;0</formula>
    </cfRule>
    <cfRule type="containsBlanks" dxfId="12" priority="10">
      <formula>LEN(TRIM(E13))=0</formula>
    </cfRule>
  </conditionalFormatting>
  <conditionalFormatting sqref="E19:H21">
    <cfRule type="notContainsBlanks" dxfId="11" priority="26">
      <formula>LEN(TRIM(E19))&gt;0</formula>
    </cfRule>
    <cfRule type="containsBlanks" dxfId="10" priority="27">
      <formula>LEN(TRIM(E19))=0</formula>
    </cfRule>
  </conditionalFormatting>
  <conditionalFormatting sqref="J19:M21">
    <cfRule type="notContainsBlanks" dxfId="9" priority="5">
      <formula>LEN(TRIM(J19))&gt;0</formula>
    </cfRule>
    <cfRule type="containsBlanks" dxfId="8" priority="6">
      <formula>LEN(TRIM(J19))=0</formula>
    </cfRule>
  </conditionalFormatting>
  <dataValidations count="3">
    <dataValidation type="list" allowBlank="1" showInputMessage="1" showErrorMessage="1" sqref="E6:E7 E9:E10 E14" xr:uid="{9F33E31D-3A78-4686-BA4A-08E4DB8B55D2}">
      <formula1>"Ja,Nein"</formula1>
    </dataValidation>
    <dataValidation type="list" allowBlank="1" showInputMessage="1" showErrorMessage="1" sqref="E19:E21 J19:J21" xr:uid="{5D7BA285-E4A8-4672-B86A-671FC5C8BE71}">
      <formula1>"Jugend,Erwachsen"</formula1>
    </dataValidation>
    <dataValidation type="list" allowBlank="1" showInputMessage="1" showErrorMessage="1" sqref="G19:G21 L19:L21" xr:uid="{EA2BFBE6-638F-477B-9B2E-63E45A562E41}">
      <formula1>"3,4,5,6,7,8,9,10"</formula1>
    </dataValidation>
  </dataValidations>
  <hyperlinks>
    <hyperlink ref="C1" r:id="rId1" xr:uid="{52010539-06A5-4A4A-A500-0EF9D814C56A}"/>
    <hyperlink ref="F29:N29" location="'Übersicht Trainingsgebühren'!A1" display="Detaillierte Aufschlüsselung der Trainingsgebühren im Blatt Trainingsgebühren (klick)" xr:uid="{2F675D7D-287D-41E4-8F57-A166BC291E0C}"/>
  </hyperlinks>
  <pageMargins left="0.7" right="0.7" top="0.78740157499999996" bottom="0.78740157499999996" header="0.3" footer="0.3"/>
  <pageSetup paperSize="9" orientation="portrait" horizontalDpi="4294967293" verticalDpi="4294967293" r:id="rId2"/>
  <headerFooter>
    <oddFooter xml:space="preserve">&amp;LFrei verwendbar </oddFooter>
    <evenFooter xml:space="preserve">&amp;LFrei verwendbar </evenFooter>
    <firstFooter xml:space="preserve">&amp;LFrei verwendbar </firstFooter>
  </headerFooter>
  <ignoredErrors>
    <ignoredError sqref="D32 D37:E37 D25:E25 D28:E28" evalError="1"/>
    <ignoredError sqref="E35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8CDD5C-5B9D-484B-9D7B-9299E4BDF20E}">
          <x14:formula1>
            <xm:f>Stammdaten!$A$3:$A$9</xm:f>
          </x14:formula1>
          <xm:sqref>E8</xm:sqref>
        </x14:dataValidation>
        <x14:dataValidation type="list" allowBlank="1" showInputMessage="1" showErrorMessage="1" xr:uid="{7C93A351-D2B8-4489-905F-35E7FC2AFB51}">
          <x14:formula1>
            <xm:f>'Wichtige Hinweise'!$C$8:$E$8</xm:f>
          </x14:formula1>
          <xm:sqref>E13</xm:sqref>
        </x14:dataValidation>
        <x14:dataValidation type="list" allowBlank="1" showInputMessage="1" showErrorMessage="1" xr:uid="{B2B9D02A-2A6F-4D6C-B395-E610DE052DC2}">
          <x14:formula1>
            <xm:f>Stammdaten!$P$3:$P$4</xm:f>
          </x14:formula1>
          <xm:sqref>F19:F21 K19:K21</xm:sqref>
        </x14:dataValidation>
        <x14:dataValidation type="list" allowBlank="1" showInputMessage="1" showErrorMessage="1" xr:uid="{383DDCD2-2632-4F9F-89DE-01DCC5B0AA7D}">
          <x14:formula1>
            <xm:f>_xlfn.ANCHORARRAY(Stammdaten!$U$3)</xm:f>
          </x14:formula1>
          <xm:sqref>H19:H21 M19:M21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13AD-7DE2-423A-BC80-D479E6DC936C}">
  <sheetPr codeName="Tabelle3"/>
  <dimension ref="A1:M34"/>
  <sheetViews>
    <sheetView showGridLines="0" tabSelected="1" workbookViewId="0">
      <selection activeCell="O14" sqref="O14"/>
    </sheetView>
  </sheetViews>
  <sheetFormatPr baseColWidth="10" defaultColWidth="11.44140625" defaultRowHeight="14.4" x14ac:dyDescent="0.3"/>
  <cols>
    <col min="1" max="1" width="1.44140625" customWidth="1"/>
    <col min="2" max="2" width="1.109375" customWidth="1"/>
    <col min="3" max="3" width="55.109375" customWidth="1"/>
    <col min="4" max="4" width="14.5546875" customWidth="1"/>
    <col min="5" max="5" width="13" customWidth="1"/>
    <col min="6" max="6" width="14.5546875" customWidth="1"/>
    <col min="7" max="7" width="14.109375" customWidth="1"/>
    <col min="8" max="8" width="1.6640625" customWidth="1"/>
    <col min="9" max="9" width="13.5546875" customWidth="1"/>
    <col min="11" max="11" width="13.88671875" customWidth="1"/>
    <col min="12" max="12" width="14.109375" customWidth="1"/>
    <col min="13" max="13" width="1.109375" customWidth="1"/>
  </cols>
  <sheetData>
    <row r="1" spans="1:13" x14ac:dyDescent="0.3">
      <c r="B1" s="229" t="s">
        <v>74</v>
      </c>
      <c r="C1" s="229"/>
      <c r="D1" s="229"/>
    </row>
    <row r="2" spans="1:13" ht="21.6" thickBot="1" x14ac:dyDescent="0.45">
      <c r="B2" s="130"/>
      <c r="C2" s="245" t="s">
        <v>102</v>
      </c>
      <c r="D2" s="245"/>
      <c r="E2" s="245"/>
      <c r="F2" s="245"/>
      <c r="G2" s="245"/>
      <c r="H2" s="245"/>
      <c r="I2" s="245"/>
      <c r="J2" s="245"/>
      <c r="K2" s="245"/>
      <c r="L2" s="245"/>
      <c r="M2" s="130"/>
    </row>
    <row r="3" spans="1:13" ht="5.25" customHeight="1" thickBot="1" x14ac:dyDescent="0.3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</row>
    <row r="4" spans="1:13" ht="15" thickBot="1" x14ac:dyDescent="0.35">
      <c r="A4" s="131"/>
      <c r="B4" s="132"/>
      <c r="C4" s="134" t="str">
        <f>IF(Gebührenrechner!E13&lt;&gt;"",Gebührenrechner!E13,"")</f>
        <v>2023 ff.</v>
      </c>
      <c r="D4" s="246" t="str">
        <f>"Sommersaison (etwa " &amp; Stammdaten!O3 &amp; " Trainingswochen)"</f>
        <v>Sommersaison (etwa 16 Trainingswochen)</v>
      </c>
      <c r="E4" s="247"/>
      <c r="F4" s="247"/>
      <c r="G4" s="248"/>
      <c r="H4" s="135"/>
      <c r="I4" s="246" t="str">
        <f>"Wintersaison (etwa " &amp; Stammdaten!O4 &amp; " Trainingswochen)"</f>
        <v>Wintersaison (etwa 22 Trainingswochen)</v>
      </c>
      <c r="J4" s="247"/>
      <c r="K4" s="247"/>
      <c r="L4" s="248"/>
      <c r="M4" s="136"/>
    </row>
    <row r="5" spans="1:13" x14ac:dyDescent="0.3">
      <c r="A5" s="131"/>
      <c r="B5" s="132"/>
      <c r="C5" s="137" t="s">
        <v>25</v>
      </c>
      <c r="D5" s="138" t="s">
        <v>26</v>
      </c>
      <c r="E5" s="139" t="s">
        <v>27</v>
      </c>
      <c r="F5" s="139" t="s">
        <v>28</v>
      </c>
      <c r="G5" s="140" t="s">
        <v>29</v>
      </c>
      <c r="H5" s="141"/>
      <c r="I5" s="138" t="s">
        <v>26</v>
      </c>
      <c r="J5" s="139" t="s">
        <v>30</v>
      </c>
      <c r="K5" s="139" t="s">
        <v>28</v>
      </c>
      <c r="L5" s="140" t="s">
        <v>29</v>
      </c>
      <c r="M5" s="136"/>
    </row>
    <row r="6" spans="1:13" ht="16.5" customHeight="1" x14ac:dyDescent="0.3">
      <c r="A6" s="131"/>
      <c r="B6" s="132"/>
      <c r="C6" s="142" t="str">
        <f>Gebührenrechner!C19</f>
        <v>Angaben für 1. Trainingseinheit pro Woche in dieser Zeile --&gt;</v>
      </c>
      <c r="D6" s="143" t="str">
        <f>IF(Gebührenrechner!E19&lt;&gt;"",Gebührenrechner!E19,"")</f>
        <v>Jugend</v>
      </c>
      <c r="E6" s="144">
        <f>IF(Gebührenrechner!F19&lt;&gt;"",Gebührenrechner!F19,"")</f>
        <v>1.5</v>
      </c>
      <c r="F6" s="144">
        <f>IF(Gebührenrechner!G19&lt;&gt;"",Gebührenrechner!G19,"")</f>
        <v>5</v>
      </c>
      <c r="G6" s="145" t="str">
        <f>IF(Gebührenrechner!H19&lt;&gt;"",IF(COUNTIF(Stammdaten!$Q$3:$Q$8,Gebührenrechner!H19)=1,Stammdaten!$Q$2,IF(COUNTIF(Stammdaten!$R$3:$R$8,Gebührenrechner!H19)=1,Stammdaten!$R$2,Stammdaten!$S$2)),"")</f>
        <v>Junior-Trainer</v>
      </c>
      <c r="H6" s="146"/>
      <c r="I6" s="143" t="str">
        <f>IF(Gebührenrechner!J19&lt;&gt;"",Gebührenrechner!J19,"")</f>
        <v>Erwachsen</v>
      </c>
      <c r="J6" s="144">
        <f>IF(Gebührenrechner!K19&lt;&gt;"",Gebührenrechner!K19,"")</f>
        <v>1.5</v>
      </c>
      <c r="K6" s="144">
        <f>IF(Gebührenrechner!L19&lt;&gt;"",Gebührenrechner!L19,"")</f>
        <v>8</v>
      </c>
      <c r="L6" s="145" t="str">
        <f>IF(Gebührenrechner!M19&lt;&gt;"",IF(COUNTIF(Stammdaten!$Q$3:$Q$8,Gebührenrechner!M19)=1,Stammdaten!$Q$2,IF(COUNTIF(Stammdaten!$R$3:$R$8,Gebührenrechner!M19)=1,Stammdaten!$R$2,Stammdaten!$S$2)),"")</f>
        <v>Co-Trainer</v>
      </c>
      <c r="M6" s="136"/>
    </row>
    <row r="7" spans="1:13" x14ac:dyDescent="0.3">
      <c r="A7" s="131"/>
      <c r="B7" s="132"/>
      <c r="C7" s="142" t="str">
        <f>Gebührenrechner!C20</f>
        <v>Angaben für 2. Trainingseinheit pro Woche in dieser Zeile --&gt;</v>
      </c>
      <c r="D7" s="143" t="str">
        <f>IF(Gebührenrechner!E20&lt;&gt;"",Gebührenrechner!E20,"")</f>
        <v/>
      </c>
      <c r="E7" s="144" t="str">
        <f>IF(Gebührenrechner!F20&lt;&gt;"",Gebührenrechner!F20,"")</f>
        <v/>
      </c>
      <c r="F7" s="144" t="str">
        <f>IF(Gebührenrechner!G20&lt;&gt;"",Gebührenrechner!G20,"")</f>
        <v/>
      </c>
      <c r="G7" s="145" t="str">
        <f>IF(Gebührenrechner!H20&lt;&gt;"",IF(COUNTIF(Stammdaten!$Q$3:$Q$8,Gebührenrechner!H20)=1,Stammdaten!$Q$2,IF(COUNTIF(Stammdaten!$R$3:$R$8,Gebührenrechner!H20)=1,Stammdaten!$R$2,Stammdaten!$S$2)),"")</f>
        <v/>
      </c>
      <c r="H7" s="146"/>
      <c r="I7" s="143" t="str">
        <f>IF(Gebührenrechner!J20&lt;&gt;"",Gebührenrechner!J20,"")</f>
        <v/>
      </c>
      <c r="J7" s="144" t="str">
        <f>IF(Gebührenrechner!K20&lt;&gt;"",Gebührenrechner!K20,"")</f>
        <v/>
      </c>
      <c r="K7" s="144" t="str">
        <f>IF(Gebührenrechner!L20&lt;&gt;"",Gebührenrechner!L20,"")</f>
        <v/>
      </c>
      <c r="L7" s="145" t="str">
        <f>IF(Gebührenrechner!M20&lt;&gt;"",IF(COUNTIF(Stammdaten!$Q$3:$Q$8,Gebührenrechner!M20)=1,Stammdaten!$Q$2,IF(COUNTIF(Stammdaten!$R$3:$R$8,Gebührenrechner!M20)=1,Stammdaten!$R$2,Stammdaten!$S$2)),"")</f>
        <v/>
      </c>
      <c r="M7" s="136"/>
    </row>
    <row r="8" spans="1:13" x14ac:dyDescent="0.3">
      <c r="A8" s="131"/>
      <c r="B8" s="132"/>
      <c r="C8" s="142" t="str">
        <f>Gebührenrechner!C21</f>
        <v>Angaben für 3. Trainingseinheit pro Woche in dieser Zeile --&gt;</v>
      </c>
      <c r="D8" s="143" t="str">
        <f>IF(Gebührenrechner!E21&lt;&gt;"",Gebührenrechner!E21,"")</f>
        <v/>
      </c>
      <c r="E8" s="144" t="str">
        <f>IF(Gebührenrechner!F21&lt;&gt;"",Gebührenrechner!F21,"")</f>
        <v/>
      </c>
      <c r="F8" s="144" t="str">
        <f>IF(Gebührenrechner!G21&lt;&gt;"",Gebührenrechner!G21,"")</f>
        <v/>
      </c>
      <c r="G8" s="145" t="str">
        <f>IF(Gebührenrechner!H21&lt;&gt;"",IF(COUNTIF(Stammdaten!$Q$3:$Q$8,Gebührenrechner!H21)=1,Stammdaten!$Q$2,IF(COUNTIF(Stammdaten!$R$3:$R$8,Gebührenrechner!H21)=1,Stammdaten!$R$2,Stammdaten!$S$2)),"")</f>
        <v/>
      </c>
      <c r="H8" s="146"/>
      <c r="I8" s="143" t="str">
        <f>IF(Gebührenrechner!J21&lt;&gt;"",Gebührenrechner!J21,"")</f>
        <v/>
      </c>
      <c r="J8" s="144" t="str">
        <f>IF(Gebührenrechner!K21&lt;&gt;"",Gebührenrechner!K21,"")</f>
        <v/>
      </c>
      <c r="K8" s="144" t="str">
        <f>IF(Gebührenrechner!L21&lt;&gt;"",Gebührenrechner!L21,"")</f>
        <v/>
      </c>
      <c r="L8" s="145" t="str">
        <f>IF(Gebührenrechner!M21&lt;&gt;"",IF(COUNTIF(Stammdaten!$Q$3:$Q$8,Gebührenrechner!M21)=1,Stammdaten!$Q$2,IF(COUNTIF(Stammdaten!$R$3:$R$8,Gebührenrechner!M21)=1,Stammdaten!$R$2,Stammdaten!$S$2)),"")</f>
        <v/>
      </c>
      <c r="M8" s="136"/>
    </row>
    <row r="9" spans="1:13" ht="15" thickBot="1" x14ac:dyDescent="0.35">
      <c r="A9" s="131"/>
      <c r="B9" s="132"/>
      <c r="C9" s="147" t="s">
        <v>72</v>
      </c>
      <c r="D9" s="249" t="str">
        <f>IF(Gebührenrechner!E14&lt;&gt;"",Gebührenrechner!E14,"")</f>
        <v>Nein</v>
      </c>
      <c r="E9" s="250"/>
      <c r="F9" s="250"/>
      <c r="G9" s="251"/>
      <c r="H9" s="148"/>
      <c r="I9" s="249" t="str">
        <f>IF(Gebührenrechner!E14&lt;&gt;"",Gebührenrechner!E14,"")</f>
        <v>Nein</v>
      </c>
      <c r="J9" s="250"/>
      <c r="K9" s="250"/>
      <c r="L9" s="251"/>
      <c r="M9" s="136"/>
    </row>
    <row r="10" spans="1:13" ht="6.75" customHeight="1" thickBot="1" x14ac:dyDescent="0.35">
      <c r="A10" s="131"/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1:13" x14ac:dyDescent="0.3">
      <c r="G11" s="131"/>
      <c r="H11" s="152"/>
    </row>
    <row r="12" spans="1:13" x14ac:dyDescent="0.3">
      <c r="B12" s="96"/>
      <c r="C12" s="153" t="s">
        <v>34</v>
      </c>
      <c r="D12" s="154" t="s">
        <v>35</v>
      </c>
      <c r="E12" s="155" t="s">
        <v>36</v>
      </c>
      <c r="F12" s="96"/>
      <c r="G12" s="156"/>
      <c r="H12" s="157"/>
      <c r="I12" s="154" t="s">
        <v>35</v>
      </c>
      <c r="J12" s="155" t="s">
        <v>36</v>
      </c>
      <c r="K12" s="96"/>
      <c r="L12" s="96"/>
    </row>
    <row r="13" spans="1:13" x14ac:dyDescent="0.3">
      <c r="C13" s="158" t="s">
        <v>38</v>
      </c>
      <c r="D13" s="159">
        <f>IFERROR(E13*$D$30,"")</f>
        <v>0</v>
      </c>
      <c r="E13" s="160">
        <f>IF(Gebührenrechner!E10="Ja",IFERROR(VLOOKUP(G6,Stammdaten!$G$4:$J$6,MATCH($C$4,Stammdaten!$G$3:$J$3,0),0)*E6/F6*IF(D6="Jugend",1-Stammdaten!$L$3,1),0),0)</f>
        <v>0</v>
      </c>
      <c r="F13" s="161" t="str">
        <f>IF(AND(D6="Jugend",E13&gt;0),"Inkl. " &amp;Stammdaten!$L$3*100 &amp; "% Rabatt","")</f>
        <v/>
      </c>
      <c r="G13" s="131"/>
      <c r="H13" s="162"/>
      <c r="I13" s="159">
        <f>IFERROR(J13*$I$30,"")</f>
        <v>0</v>
      </c>
      <c r="J13" s="160">
        <f>IF(Gebührenrechner!E10="Ja",IFERROR(VLOOKUP(L6,Stammdaten!$G$4:$J$6,MATCH($C$4,Stammdaten!$G$3:$J$3,0),0)*J6/K6*IF(I6="Jugend",1-Stammdaten!$L$3,1),0),0)</f>
        <v>0</v>
      </c>
      <c r="K13" s="161" t="str">
        <f>IF(AND(I6="Jugend",J13&gt;0),"Inkl. " &amp;Stammdaten!$L$3*100 &amp; "% Rabatt","")</f>
        <v/>
      </c>
    </row>
    <row r="14" spans="1:13" x14ac:dyDescent="0.3">
      <c r="C14" s="158" t="s">
        <v>40</v>
      </c>
      <c r="D14" s="159">
        <f>IFERROR(E14*$D$30,"")</f>
        <v>0</v>
      </c>
      <c r="E14" s="160">
        <f>IF(Gebührenrechner!E10="Ja",IFERROR(VLOOKUP(G7,Stammdaten!$G$4:$J$6,MATCH($C$4,Stammdaten!$G$3:$J$3,0),0)*E7/F7*IF(D7="Jugend",1-Stammdaten!$L$3,1),0),0)</f>
        <v>0</v>
      </c>
      <c r="F14" s="161" t="str">
        <f>IF(AND(D7="Jugend",E14&gt;0),"Inkl. " &amp;Stammdaten!$L$3*100 &amp; "% Rabatt","")</f>
        <v/>
      </c>
      <c r="G14" s="131"/>
      <c r="H14" s="162"/>
      <c r="I14" s="159">
        <f>IFERROR(J14*$I$30,"")</f>
        <v>0</v>
      </c>
      <c r="J14" s="160">
        <f>IF(Gebührenrechner!E10="Ja",IFERROR(VLOOKUP(L7,Stammdaten!$G$4:$J$6,MATCH($C$4,Stammdaten!$G$3:$J$3,0),0)*J7/K7*IF(I7="Jugend",1-Stammdaten!$L$3,1),0),0)</f>
        <v>0</v>
      </c>
      <c r="K14" s="161" t="str">
        <f>IF(AND(I7="Jugend",J14&gt;0),"Inkl. " &amp;Stammdaten!$L$3*100 &amp; "% Rabatt","")</f>
        <v/>
      </c>
    </row>
    <row r="15" spans="1:13" ht="15" customHeight="1" x14ac:dyDescent="0.3">
      <c r="C15" s="158" t="s">
        <v>41</v>
      </c>
      <c r="D15" s="163">
        <f>IFERROR(E15*$D$30,"")</f>
        <v>0</v>
      </c>
      <c r="E15" s="160">
        <f>IF(Gebührenrechner!E10="Ja",IFERROR(VLOOKUP(G8,Stammdaten!$G$4:$J$6,MATCH($C$4,Stammdaten!$G$3:$J$3,0),0)*E8/F8*IF(D8="Jugend",1-Stammdaten!$L$3,1),0),0)</f>
        <v>0</v>
      </c>
      <c r="F15" s="161" t="str">
        <f>IF(AND(D8="Jugend",E15&gt;0),"Inkl. " &amp;Stammdaten!$L$3*100 &amp; "% Rabatt","")</f>
        <v/>
      </c>
      <c r="G15" s="131"/>
      <c r="H15" s="162"/>
      <c r="I15" s="159">
        <f>IFERROR(J15*$I$30,"")</f>
        <v>0</v>
      </c>
      <c r="J15" s="160">
        <f>IF(Gebührenrechner!E10="Ja",IFERROR(VLOOKUP(L8,Stammdaten!$G$4:$J$6,MATCH($C$4,Stammdaten!$G$3:$J$3,0),0)*J8/K8*IF(I8="Jugend",1-Stammdaten!$L$3,1),0),0)</f>
        <v>0</v>
      </c>
      <c r="K15" s="161" t="str">
        <f>IF(AND(I8="Jugend",J15&gt;0),"Inkl. " &amp;Stammdaten!$L$3*100 &amp; "% Rabatt","")</f>
        <v/>
      </c>
    </row>
    <row r="16" spans="1:13" ht="16.5" customHeight="1" thickBot="1" x14ac:dyDescent="0.35">
      <c r="C16" s="164" t="s">
        <v>42</v>
      </c>
      <c r="D16" s="165">
        <f>E16*$D$30</f>
        <v>0</v>
      </c>
      <c r="E16" s="166">
        <f>SUM(E13:E15)</f>
        <v>0</v>
      </c>
      <c r="F16" s="167"/>
      <c r="G16" s="168"/>
      <c r="H16" s="169"/>
      <c r="I16" s="170">
        <f>SUM(I13:I15)</f>
        <v>0</v>
      </c>
      <c r="J16" s="171">
        <f>SUM(J13:J15)</f>
        <v>0</v>
      </c>
      <c r="K16" s="172"/>
      <c r="L16" s="172"/>
    </row>
    <row r="17" spans="3:12" ht="8.25" customHeight="1" thickTop="1" x14ac:dyDescent="0.3">
      <c r="G17" s="131"/>
      <c r="H17" s="162"/>
    </row>
    <row r="18" spans="3:12" x14ac:dyDescent="0.3">
      <c r="C18" s="68" t="s">
        <v>43</v>
      </c>
      <c r="G18" s="131"/>
      <c r="H18" s="162"/>
    </row>
    <row r="19" spans="3:12" x14ac:dyDescent="0.3">
      <c r="C19" s="158" t="s">
        <v>44</v>
      </c>
      <c r="D19" s="173">
        <f>IF(COUNTIF(E13:E15,"&gt;0")&gt;1,'Wichtige Hinweise'!C16,0)</f>
        <v>0</v>
      </c>
      <c r="E19" s="174">
        <f>D19</f>
        <v>0</v>
      </c>
      <c r="F19" s="175"/>
      <c r="G19" s="131"/>
      <c r="H19" s="162"/>
      <c r="I19" s="174">
        <f>IF(COUNTIF(J13:J15,"&gt;0")&gt;1,'Wichtige Hinweise'!C16,0)</f>
        <v>0</v>
      </c>
      <c r="J19" s="176">
        <f>I19</f>
        <v>0</v>
      </c>
      <c r="K19" s="175"/>
    </row>
    <row r="20" spans="3:12" ht="15" customHeight="1" x14ac:dyDescent="0.3">
      <c r="C20" s="158" t="s">
        <v>45</v>
      </c>
      <c r="D20" s="177">
        <f>IF(D9="Ja",'Wichtige Hinweise'!C17,0)</f>
        <v>0</v>
      </c>
      <c r="E20" s="178">
        <f>D20</f>
        <v>0</v>
      </c>
      <c r="F20" s="175"/>
      <c r="G20" s="131"/>
      <c r="H20" s="162"/>
      <c r="I20" s="178">
        <f>IF(I9="Ja",'Wichtige Hinweise'!C17,0)</f>
        <v>0</v>
      </c>
      <c r="J20" s="179">
        <f>I20</f>
        <v>0</v>
      </c>
      <c r="K20" s="175"/>
    </row>
    <row r="21" spans="3:12" ht="15" thickBot="1" x14ac:dyDescent="0.35">
      <c r="C21" s="164" t="s">
        <v>46</v>
      </c>
      <c r="D21" s="170">
        <f>-D16*IF(SUM(D19:D20)&gt;'Wichtige Hinweise'!C18,'Wichtige Hinweise'!C18,SUM(D19:D20))</f>
        <v>0</v>
      </c>
      <c r="E21" s="166">
        <f>-E16*IF(SUM(D19:D20)&gt;'Wichtige Hinweise'!C18,'Wichtige Hinweise'!C18,SUM(D19:D20))</f>
        <v>0</v>
      </c>
      <c r="F21" s="180" t="str">
        <f>IF(SUM(D19:D20)&gt;'Wichtige Hinweise'!C18,"Max " &amp; 'Wichtige Hinweise'!C18*100 &amp; "% zusätzlicher Rabatt!","")</f>
        <v/>
      </c>
      <c r="G21" s="168"/>
      <c r="H21" s="169"/>
      <c r="I21" s="170">
        <f>-I16*IF(SUM(I19:I20)&gt;'Wichtige Hinweise'!C18,'Wichtige Hinweise'!C18,SUM(I19:I20))</f>
        <v>0</v>
      </c>
      <c r="J21" s="181">
        <f>-J16*IF(SUM(I19:I20)&gt;'Wichtige Hinweise'!C18,'Wichtige Hinweise'!C18,SUM(I19:I20))</f>
        <v>0</v>
      </c>
      <c r="K21" s="182" t="str">
        <f>IF(SUM(I19:I20)&gt;'Wichtige Hinweise'!C18,"Max " &amp; 'Wichtige Hinweise'!C18*100 &amp; "% zusätzlicher Rabatt!","")</f>
        <v/>
      </c>
      <c r="L21" s="172"/>
    </row>
    <row r="22" spans="3:12" ht="6.75" customHeight="1" thickTop="1" x14ac:dyDescent="0.3">
      <c r="G22" s="131"/>
      <c r="H22" s="162"/>
    </row>
    <row r="23" spans="3:12" x14ac:dyDescent="0.3">
      <c r="C23" s="68" t="s">
        <v>47</v>
      </c>
      <c r="G23" s="131"/>
      <c r="H23" s="162"/>
    </row>
    <row r="24" spans="3:12" ht="16.5" customHeight="1" x14ac:dyDescent="0.3">
      <c r="C24" s="158" t="s">
        <v>48</v>
      </c>
      <c r="D24" s="183">
        <f>0</f>
        <v>0</v>
      </c>
      <c r="E24" s="184"/>
      <c r="G24" s="131"/>
      <c r="H24" s="162"/>
      <c r="I24" s="160">
        <f>IF(Gebührenrechner!E10="Ja",IF(AND(C4&lt;&gt;"",I16&gt;0),'Wichtige Hinweise'!C9*SUM(J6:J8),0),0)</f>
        <v>0</v>
      </c>
      <c r="J24" s="185">
        <f>I24/I30</f>
        <v>0</v>
      </c>
    </row>
    <row r="25" spans="3:12" ht="15" thickBot="1" x14ac:dyDescent="0.35">
      <c r="C25" s="164" t="s">
        <v>49</v>
      </c>
      <c r="D25" s="171">
        <f>SUM(D24)</f>
        <v>0</v>
      </c>
      <c r="E25" s="186"/>
      <c r="F25" s="167"/>
      <c r="G25" s="168"/>
      <c r="H25" s="169"/>
      <c r="I25" s="170">
        <f>SUM(I24)</f>
        <v>0</v>
      </c>
      <c r="J25" s="171">
        <f>SUM(J24)</f>
        <v>0</v>
      </c>
      <c r="K25" s="172"/>
      <c r="L25" s="172"/>
    </row>
    <row r="26" spans="3:12" ht="15" thickTop="1" x14ac:dyDescent="0.3">
      <c r="G26" s="131"/>
      <c r="H26" s="162"/>
    </row>
    <row r="27" spans="3:12" ht="18.600000000000001" thickBot="1" x14ac:dyDescent="0.4">
      <c r="C27" s="187" t="s">
        <v>50</v>
      </c>
      <c r="D27" s="188">
        <f>SUM(D16,D21,D25)</f>
        <v>0</v>
      </c>
      <c r="E27" s="189">
        <f>SUM(E16,E21,E25)</f>
        <v>0</v>
      </c>
      <c r="F27" s="190"/>
      <c r="G27" s="191"/>
      <c r="H27" s="192"/>
      <c r="I27" s="188">
        <f>SUM(I16,I21,I25)</f>
        <v>0</v>
      </c>
      <c r="J27" s="193">
        <f>SUM(J16,J21,J25)</f>
        <v>0</v>
      </c>
      <c r="K27" s="194"/>
      <c r="L27" s="194"/>
    </row>
    <row r="28" spans="3:12" ht="9" customHeight="1" thickTop="1" x14ac:dyDescent="0.3">
      <c r="C28" s="158"/>
      <c r="G28" s="131"/>
      <c r="H28" s="162"/>
    </row>
    <row r="29" spans="3:12" x14ac:dyDescent="0.3">
      <c r="C29" s="195" t="s">
        <v>51</v>
      </c>
      <c r="G29" s="196"/>
      <c r="H29" s="197"/>
    </row>
    <row r="30" spans="3:12" x14ac:dyDescent="0.3">
      <c r="C30" s="198" t="s">
        <v>52</v>
      </c>
      <c r="D30" s="89">
        <f>Stammdaten!O3</f>
        <v>16</v>
      </c>
      <c r="E30" s="89"/>
      <c r="F30" s="89"/>
      <c r="G30" s="196"/>
      <c r="H30" s="197"/>
      <c r="I30" s="89">
        <f>Stammdaten!O4</f>
        <v>22</v>
      </c>
    </row>
    <row r="31" spans="3:12" x14ac:dyDescent="0.3">
      <c r="C31" s="198" t="s">
        <v>53</v>
      </c>
      <c r="D31" s="89">
        <f>D30*COUNTIF(E13:E15,"&gt;0")</f>
        <v>0</v>
      </c>
      <c r="E31" s="89"/>
      <c r="F31" s="89"/>
      <c r="G31" s="196"/>
      <c r="H31" s="197"/>
      <c r="I31" s="89">
        <f>I30*COUNTIF(I13:I15,"&gt;0")</f>
        <v>0</v>
      </c>
    </row>
    <row r="32" spans="3:12" x14ac:dyDescent="0.3">
      <c r="C32" s="198" t="s">
        <v>54</v>
      </c>
      <c r="D32" s="89">
        <f>SUM(E6:E8)</f>
        <v>1.5</v>
      </c>
      <c r="E32" s="89"/>
      <c r="F32" s="89"/>
      <c r="G32" s="196"/>
      <c r="H32" s="197"/>
      <c r="I32" s="89">
        <f>SUM(J6:J8)</f>
        <v>1.5</v>
      </c>
    </row>
    <row r="33" spans="3:9" x14ac:dyDescent="0.3">
      <c r="C33" s="198" t="s">
        <v>55</v>
      </c>
      <c r="D33" s="89">
        <f>D30*D32</f>
        <v>24</v>
      </c>
      <c r="E33" s="89"/>
      <c r="F33" s="89"/>
      <c r="G33" s="196"/>
      <c r="H33" s="197"/>
      <c r="I33" s="89">
        <f>I30*I32</f>
        <v>33</v>
      </c>
    </row>
    <row r="34" spans="3:9" x14ac:dyDescent="0.3">
      <c r="C34" s="198" t="s">
        <v>56</v>
      </c>
      <c r="D34" s="175">
        <f>IFERROR(D27/D33,"")</f>
        <v>0</v>
      </c>
      <c r="E34" s="89"/>
      <c r="F34" s="89"/>
      <c r="G34" s="196"/>
      <c r="H34" s="197"/>
      <c r="I34" s="175">
        <f>IFERROR(I27/I33,"")</f>
        <v>0</v>
      </c>
    </row>
  </sheetData>
  <sheetProtection algorithmName="SHA-512" hashValue="FcKuExIOOZbR+PeBFMrAFa7gZuXdhxpwjGAhpPyb51wYaL0XCg6Qd6F7o029A5RAuzRIeT68kIl/G1cpK+S1vA==" saltValue="GXsdfd6424/P0NPTe9tEaw==" spinCount="100000" sheet="1"/>
  <mergeCells count="6">
    <mergeCell ref="B1:D1"/>
    <mergeCell ref="C2:L2"/>
    <mergeCell ref="D4:G4"/>
    <mergeCell ref="I4:L4"/>
    <mergeCell ref="D9:G9"/>
    <mergeCell ref="I9:L9"/>
  </mergeCells>
  <conditionalFormatting sqref="C4">
    <cfRule type="notContainsBlanks" dxfId="7" priority="9">
      <formula>LEN(TRIM(C4))&gt;0</formula>
    </cfRule>
    <cfRule type="containsBlanks" dxfId="6" priority="10">
      <formula>LEN(TRIM(C4))=0</formula>
    </cfRule>
  </conditionalFormatting>
  <conditionalFormatting sqref="D9">
    <cfRule type="notContainsBlanks" dxfId="5" priority="13">
      <formula>LEN(TRIM(D9))&gt;0</formula>
    </cfRule>
    <cfRule type="containsBlanks" dxfId="4" priority="14">
      <formula>LEN(TRIM(D9))=0</formula>
    </cfRule>
  </conditionalFormatting>
  <conditionalFormatting sqref="D6:L8">
    <cfRule type="notContainsBlanks" dxfId="3" priority="1">
      <formula>LEN(TRIM(D6))&gt;0</formula>
    </cfRule>
    <cfRule type="containsBlanks" dxfId="2" priority="2">
      <formula>LEN(TRIM(D6))=0</formula>
    </cfRule>
  </conditionalFormatting>
  <conditionalFormatting sqref="I9">
    <cfRule type="notContainsBlanks" dxfId="1" priority="11">
      <formula>LEN(TRIM(I9))&gt;0</formula>
    </cfRule>
    <cfRule type="containsBlanks" dxfId="0" priority="12">
      <formula>LEN(TRIM(I9))=0</formula>
    </cfRule>
  </conditionalFormatting>
  <dataValidations count="1">
    <dataValidation type="list" allowBlank="1" showInputMessage="1" showErrorMessage="1" sqref="H7:H8" xr:uid="{BC37D210-3FEC-4F9C-BE56-B0CB59813622}">
      <formula1>#REF!</formula1>
    </dataValidation>
  </dataValidations>
  <hyperlinks>
    <hyperlink ref="B1" r:id="rId1" xr:uid="{E119DD08-2F7E-41C2-996F-1E3DD85629E4}"/>
  </hyperlinks>
  <pageMargins left="0.7" right="0.7" top="0.78740157499999996" bottom="0.78740157499999996" header="0.3" footer="0.3"/>
  <pageSetup paperSize="20" orientation="portrait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EAE-2554-4825-8068-003FA1A1D4FD}">
  <sheetPr codeName="Tabelle2"/>
  <dimension ref="A1:W20"/>
  <sheetViews>
    <sheetView topLeftCell="D1" workbookViewId="0">
      <selection activeCell="K12" sqref="K12"/>
    </sheetView>
  </sheetViews>
  <sheetFormatPr baseColWidth="10" defaultRowHeight="14.4" x14ac:dyDescent="0.3"/>
  <cols>
    <col min="1" max="1" width="70.6640625" bestFit="1" customWidth="1"/>
    <col min="2" max="2" width="20.88671875" customWidth="1"/>
    <col min="5" max="5" width="32.33203125" customWidth="1"/>
    <col min="6" max="6" width="21.33203125" customWidth="1"/>
    <col min="7" max="7" width="31.33203125" customWidth="1"/>
    <col min="8" max="8" width="19.6640625" customWidth="1"/>
    <col min="11" max="11" width="25.88671875" customWidth="1"/>
    <col min="12" max="12" width="8.33203125" customWidth="1"/>
    <col min="13" max="13" width="17.6640625" customWidth="1"/>
    <col min="14" max="14" width="10.33203125" customWidth="1"/>
    <col min="16" max="16" width="17.44140625" customWidth="1"/>
    <col min="17" max="17" width="15.6640625" customWidth="1"/>
    <col min="18" max="18" width="12.44140625" customWidth="1"/>
    <col min="19" max="19" width="15.88671875" customWidth="1"/>
    <col min="20" max="20" width="24.33203125" customWidth="1"/>
    <col min="21" max="21" width="22.44140625" customWidth="1"/>
  </cols>
  <sheetData>
    <row r="1" spans="1:23" ht="15" thickBot="1" x14ac:dyDescent="0.35">
      <c r="A1" s="252" t="s">
        <v>70</v>
      </c>
      <c r="B1" s="253"/>
      <c r="C1" s="253"/>
      <c r="D1" s="253"/>
      <c r="E1" s="253"/>
      <c r="F1" s="254"/>
      <c r="G1" s="260" t="s">
        <v>69</v>
      </c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3" x14ac:dyDescent="0.3">
      <c r="A2" s="257" t="s">
        <v>1</v>
      </c>
      <c r="B2" s="258"/>
      <c r="C2" s="257" t="s">
        <v>10</v>
      </c>
      <c r="D2" s="258"/>
      <c r="E2" s="11" t="s">
        <v>23</v>
      </c>
      <c r="F2" s="12" t="s">
        <v>22</v>
      </c>
      <c r="G2" s="259" t="s">
        <v>24</v>
      </c>
      <c r="H2" s="259"/>
      <c r="I2" s="259"/>
      <c r="J2" s="256"/>
      <c r="K2" s="255" t="s">
        <v>43</v>
      </c>
      <c r="L2" s="256"/>
      <c r="M2" s="55" t="s">
        <v>11</v>
      </c>
      <c r="N2" s="255" t="s">
        <v>65</v>
      </c>
      <c r="O2" s="256"/>
      <c r="P2" s="60" t="s">
        <v>75</v>
      </c>
      <c r="Q2" s="56" t="s">
        <v>62</v>
      </c>
      <c r="R2" s="56" t="s">
        <v>63</v>
      </c>
      <c r="S2" s="56" t="s">
        <v>64</v>
      </c>
      <c r="T2" s="63" t="s">
        <v>93</v>
      </c>
      <c r="U2" s="56" t="s">
        <v>95</v>
      </c>
    </row>
    <row r="3" spans="1:23" x14ac:dyDescent="0.3">
      <c r="A3" s="13" t="s">
        <v>2</v>
      </c>
      <c r="B3" s="14">
        <v>16</v>
      </c>
      <c r="C3" s="13" t="s">
        <v>2</v>
      </c>
      <c r="D3" s="14">
        <v>9.1999999999999993</v>
      </c>
      <c r="E3" s="15">
        <v>1</v>
      </c>
      <c r="F3" s="16">
        <v>2</v>
      </c>
      <c r="G3" s="23"/>
      <c r="H3" s="24">
        <v>2021</v>
      </c>
      <c r="I3" s="24">
        <v>2022</v>
      </c>
      <c r="J3" s="201" t="s">
        <v>124</v>
      </c>
      <c r="K3" s="25" t="s">
        <v>32</v>
      </c>
      <c r="L3" s="26">
        <v>0.2</v>
      </c>
      <c r="M3" s="27">
        <v>10</v>
      </c>
      <c r="N3" s="25" t="s">
        <v>0</v>
      </c>
      <c r="O3" s="28">
        <v>16</v>
      </c>
      <c r="P3" s="25">
        <v>1</v>
      </c>
      <c r="Q3" s="64" t="s">
        <v>79</v>
      </c>
      <c r="R3" s="64" t="s">
        <v>81</v>
      </c>
      <c r="S3" s="64" t="s">
        <v>82</v>
      </c>
      <c r="T3" s="61" t="str">
        <f>IF(Q3&lt;&gt;"",Q3,"")</f>
        <v>Mia S.</v>
      </c>
      <c r="U3" s="31" t="str" cm="1">
        <f t="array" ref="U3:U11">_xlfn._xlws.SORT(_xlfn.UNIQUE(Tabelle4[Alle Trainer Hilfsspalte]))</f>
        <v/>
      </c>
      <c r="W3" t="s">
        <v>94</v>
      </c>
    </row>
    <row r="4" spans="1:23" x14ac:dyDescent="0.3">
      <c r="A4" s="13" t="s">
        <v>3</v>
      </c>
      <c r="B4" s="14">
        <v>11.5</v>
      </c>
      <c r="C4" s="13" t="s">
        <v>9</v>
      </c>
      <c r="D4" s="14">
        <v>5.0999999999999996</v>
      </c>
      <c r="E4" s="15"/>
      <c r="F4" s="14"/>
      <c r="G4" s="23" t="s">
        <v>62</v>
      </c>
      <c r="H4" s="29">
        <v>10</v>
      </c>
      <c r="I4" s="29">
        <v>11</v>
      </c>
      <c r="J4" s="30">
        <v>12</v>
      </c>
      <c r="K4" s="25" t="s">
        <v>33</v>
      </c>
      <c r="L4" s="26">
        <v>0.1</v>
      </c>
      <c r="M4" s="31"/>
      <c r="N4" s="25" t="s">
        <v>66</v>
      </c>
      <c r="O4" s="28">
        <v>22</v>
      </c>
      <c r="P4" s="25">
        <v>1.5</v>
      </c>
      <c r="Q4" s="64" t="s">
        <v>80</v>
      </c>
      <c r="R4" s="64"/>
      <c r="S4" s="64" t="s">
        <v>83</v>
      </c>
      <c r="T4" s="62" t="str">
        <f t="shared" ref="T4:T8" si="0">IF(Q4&lt;&gt;"",Q4,"")</f>
        <v>Jonas K.</v>
      </c>
      <c r="U4" s="31" t="str">
        <v>Eric S.</v>
      </c>
    </row>
    <row r="5" spans="1:23" x14ac:dyDescent="0.3">
      <c r="A5" s="13" t="s">
        <v>5</v>
      </c>
      <c r="B5" s="14">
        <v>11.5</v>
      </c>
      <c r="C5" s="13"/>
      <c r="D5" s="17"/>
      <c r="E5" s="18"/>
      <c r="F5" s="17"/>
      <c r="G5" s="23" t="s">
        <v>63</v>
      </c>
      <c r="H5" s="29">
        <v>15</v>
      </c>
      <c r="I5" s="29">
        <v>17</v>
      </c>
      <c r="J5" s="30">
        <v>20</v>
      </c>
      <c r="K5" s="25" t="s">
        <v>37</v>
      </c>
      <c r="L5" s="26">
        <v>0.1</v>
      </c>
      <c r="M5" s="31"/>
      <c r="N5" s="25"/>
      <c r="O5" s="28"/>
      <c r="P5" s="23"/>
      <c r="Q5" s="64" t="s">
        <v>119</v>
      </c>
      <c r="R5" s="64"/>
      <c r="S5" s="64"/>
      <c r="T5" s="61" t="str">
        <f t="shared" si="0"/>
        <v>Henri E.</v>
      </c>
      <c r="U5" s="31" t="str">
        <v>Henri E.</v>
      </c>
    </row>
    <row r="6" spans="1:23" ht="15" thickBot="1" x14ac:dyDescent="0.35">
      <c r="A6" s="13" t="s">
        <v>4</v>
      </c>
      <c r="B6" s="14">
        <v>11.5</v>
      </c>
      <c r="C6" s="13"/>
      <c r="D6" s="17"/>
      <c r="E6" s="18"/>
      <c r="F6" s="17"/>
      <c r="G6" s="32" t="s">
        <v>64</v>
      </c>
      <c r="H6" s="33">
        <v>25</v>
      </c>
      <c r="I6" s="33">
        <v>27</v>
      </c>
      <c r="J6" s="34">
        <v>30</v>
      </c>
      <c r="K6" s="35" t="s">
        <v>39</v>
      </c>
      <c r="L6" s="36">
        <v>0.1</v>
      </c>
      <c r="M6" s="37"/>
      <c r="N6" s="35"/>
      <c r="O6" s="38"/>
      <c r="P6" s="32"/>
      <c r="Q6" s="64" t="s">
        <v>120</v>
      </c>
      <c r="R6" s="64"/>
      <c r="S6" s="64"/>
      <c r="T6" s="62" t="str">
        <f t="shared" si="0"/>
        <v>Tim S.</v>
      </c>
      <c r="U6" s="31" t="str">
        <v>Jonas K.</v>
      </c>
    </row>
    <row r="7" spans="1:23" x14ac:dyDescent="0.3">
      <c r="A7" s="13" t="s">
        <v>6</v>
      </c>
      <c r="B7" s="14">
        <v>12.5</v>
      </c>
      <c r="C7" s="13"/>
      <c r="D7" s="17"/>
      <c r="E7" s="18"/>
      <c r="F7" s="17"/>
      <c r="Q7" s="64" t="s">
        <v>121</v>
      </c>
      <c r="R7" s="64"/>
      <c r="S7" s="64"/>
      <c r="T7" s="61" t="str">
        <f t="shared" si="0"/>
        <v>Timo K.</v>
      </c>
      <c r="U7" s="31" t="str">
        <v>Mia S.</v>
      </c>
    </row>
    <row r="8" spans="1:23" ht="15" thickBot="1" x14ac:dyDescent="0.35">
      <c r="A8" s="13" t="s">
        <v>7</v>
      </c>
      <c r="B8" s="14">
        <v>37</v>
      </c>
      <c r="C8" s="13"/>
      <c r="D8" s="17"/>
      <c r="E8" s="18"/>
      <c r="F8" s="17"/>
      <c r="Q8" s="65"/>
      <c r="R8" s="65"/>
      <c r="S8" s="65"/>
      <c r="T8" s="62" t="str">
        <f t="shared" si="0"/>
        <v/>
      </c>
      <c r="U8" s="31" t="str">
        <v>Michael M.</v>
      </c>
    </row>
    <row r="9" spans="1:23" ht="15" thickBot="1" x14ac:dyDescent="0.35">
      <c r="A9" s="19" t="s">
        <v>8</v>
      </c>
      <c r="B9" s="20">
        <f>25/12</f>
        <v>2.0833333333333335</v>
      </c>
      <c r="C9" s="19"/>
      <c r="D9" s="21"/>
      <c r="E9" s="22"/>
      <c r="F9" s="21"/>
      <c r="T9" s="61" t="str">
        <f>IF(R3&lt;&gt;"",R3,"")</f>
        <v>René P.</v>
      </c>
      <c r="U9" s="31" t="str">
        <v>René P.</v>
      </c>
    </row>
    <row r="10" spans="1:23" x14ac:dyDescent="0.3">
      <c r="A10" s="6"/>
      <c r="T10" s="62" t="str">
        <f t="shared" ref="T10:T14" si="1">IF(R4&lt;&gt;"",R4,"")</f>
        <v/>
      </c>
      <c r="U10" s="31" t="str">
        <v>Tim S.</v>
      </c>
    </row>
    <row r="11" spans="1:23" x14ac:dyDescent="0.3">
      <c r="T11" s="61" t="str">
        <f t="shared" si="1"/>
        <v/>
      </c>
      <c r="U11" s="31" t="str">
        <v>Timo K.</v>
      </c>
    </row>
    <row r="12" spans="1:23" x14ac:dyDescent="0.3">
      <c r="T12" s="62" t="str">
        <f t="shared" si="1"/>
        <v/>
      </c>
      <c r="U12" s="31"/>
    </row>
    <row r="13" spans="1:23" x14ac:dyDescent="0.3">
      <c r="T13" s="61" t="str">
        <f t="shared" si="1"/>
        <v/>
      </c>
      <c r="U13" s="31"/>
    </row>
    <row r="14" spans="1:23" x14ac:dyDescent="0.3">
      <c r="T14" s="62" t="str">
        <f t="shared" si="1"/>
        <v/>
      </c>
      <c r="U14" s="31"/>
    </row>
    <row r="15" spans="1:23" ht="15" thickBot="1" x14ac:dyDescent="0.35">
      <c r="T15" s="61" t="str">
        <f>IF(S3&lt;&gt;"",S3,"")</f>
        <v>Eric S.</v>
      </c>
      <c r="U15" s="37"/>
    </row>
    <row r="16" spans="1:23" x14ac:dyDescent="0.3">
      <c r="T16" s="62" t="str">
        <f t="shared" ref="T16:T20" si="2">IF(S4&lt;&gt;"",S4,"")</f>
        <v>Michael M.</v>
      </c>
    </row>
    <row r="17" spans="20:20" x14ac:dyDescent="0.3">
      <c r="T17" s="61" t="str">
        <f t="shared" si="2"/>
        <v/>
      </c>
    </row>
    <row r="18" spans="20:20" x14ac:dyDescent="0.3">
      <c r="T18" s="62" t="str">
        <f t="shared" si="2"/>
        <v/>
      </c>
    </row>
    <row r="19" spans="20:20" x14ac:dyDescent="0.3">
      <c r="T19" s="61" t="str">
        <f t="shared" si="2"/>
        <v/>
      </c>
    </row>
    <row r="20" spans="20:20" x14ac:dyDescent="0.3">
      <c r="T20" s="62" t="str">
        <f t="shared" si="2"/>
        <v/>
      </c>
    </row>
  </sheetData>
  <mergeCells count="7">
    <mergeCell ref="A1:F1"/>
    <mergeCell ref="N2:O2"/>
    <mergeCell ref="A2:B2"/>
    <mergeCell ref="C2:D2"/>
    <mergeCell ref="K2:L2"/>
    <mergeCell ref="G2:J2"/>
    <mergeCell ref="G1:U1"/>
  </mergeCells>
  <dataValidations disablePrompts="1" count="1">
    <dataValidation type="list" allowBlank="1" showInputMessage="1" showErrorMessage="1" sqref="W3" xr:uid="{CD6AFD0F-257B-43A9-8932-E8A568E3B40B}">
      <formula1>_xlfn.ANCHORARRAY(U3)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headerFooter>
    <oddFooter xml:space="preserve">&amp;LFrei verwendbar </oddFooter>
    <evenFooter xml:space="preserve">&amp;LFrei verwendbar </evenFooter>
    <firstFooter xml:space="preserve">&amp;LFrei verwendbar 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D6204DE1D00C46B0D08532DB88C9F8" ma:contentTypeVersion="2" ma:contentTypeDescription="Create a new document." ma:contentTypeScope="" ma:versionID="9d9d54bc9ec2d9a574358499c85480f2">
  <xsd:schema xmlns:xsd="http://www.w3.org/2001/XMLSchema" xmlns:xs="http://www.w3.org/2001/XMLSchema" xmlns:p="http://schemas.microsoft.com/office/2006/metadata/properties" xmlns:ns3="997f95be-fab0-4e05-818f-0f7b1cb0dcb8" targetNamespace="http://schemas.microsoft.com/office/2006/metadata/properties" ma:root="true" ma:fieldsID="e7b91e783263598443108f8e21d04d64" ns3:_="">
    <xsd:import namespace="997f95be-fab0-4e05-818f-0f7b1cb0dc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f95be-fab0-4e05-818f-0f7b1cb0d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271FB6-18B3-47EF-B703-166A07F69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f95be-fab0-4e05-818f-0f7b1cb0d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1BBA9-152B-461E-BC6D-F31883DDA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6E3B6-670B-4B44-857C-4594C049D51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7f95be-fab0-4e05-818f-0f7b1cb0dc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Wichtige Hinweise</vt:lpstr>
      <vt:lpstr>Gebührenrechner</vt:lpstr>
      <vt:lpstr>Übersicht Trainingsgebühren</vt:lpstr>
      <vt:lpstr>Stammdaten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Neumann, Martin Jonas (RC-DE TRAI)</dc:creator>
  <cp:keywords>C_Unrestricted</cp:keywords>
  <cp:lastModifiedBy>Anke Berner</cp:lastModifiedBy>
  <dcterms:created xsi:type="dcterms:W3CDTF">2020-06-27T11:13:42Z</dcterms:created>
  <dcterms:modified xsi:type="dcterms:W3CDTF">2023-10-03T12:34:08Z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Frei verwendbar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ContentTypeId">
    <vt:lpwstr>0x010100F6D6204DE1D00C46B0D08532DB88C9F8</vt:lpwstr>
  </property>
  <property fmtid="{D5CDD505-2E9C-101B-9397-08002B2CF9AE}" pid="7" name="MSIP_Label_6f75f480-7803-4ee9-bb54-84d0635fdbe7_Enabled">
    <vt:lpwstr>true</vt:lpwstr>
  </property>
  <property fmtid="{D5CDD505-2E9C-101B-9397-08002B2CF9AE}" pid="8" name="MSIP_Label_6f75f480-7803-4ee9-bb54-84d0635fdbe7_SetDate">
    <vt:lpwstr>2021-04-20T15:53:13Z</vt:lpwstr>
  </property>
  <property fmtid="{D5CDD505-2E9C-101B-9397-08002B2CF9AE}" pid="9" name="MSIP_Label_6f75f480-7803-4ee9-bb54-84d0635fdbe7_Method">
    <vt:lpwstr>Standard</vt:lpwstr>
  </property>
  <property fmtid="{D5CDD505-2E9C-101B-9397-08002B2CF9AE}" pid="10" name="MSIP_Label_6f75f480-7803-4ee9-bb54-84d0635fdbe7_Name">
    <vt:lpwstr>unrestricted</vt:lpwstr>
  </property>
  <property fmtid="{D5CDD505-2E9C-101B-9397-08002B2CF9AE}" pid="11" name="MSIP_Label_6f75f480-7803-4ee9-bb54-84d0635fdbe7_SiteId">
    <vt:lpwstr>38ae3bcd-9579-4fd4-adda-b42e1495d55a</vt:lpwstr>
  </property>
  <property fmtid="{D5CDD505-2E9C-101B-9397-08002B2CF9AE}" pid="12" name="MSIP_Label_6f75f480-7803-4ee9-bb54-84d0635fdbe7_ActionId">
    <vt:lpwstr>adf391dc-765c-46fb-a79a-f00239fdbb5c</vt:lpwstr>
  </property>
  <property fmtid="{D5CDD505-2E9C-101B-9397-08002B2CF9AE}" pid="13" name="MSIP_Label_6f75f480-7803-4ee9-bb54-84d0635fdbe7_ContentBits">
    <vt:lpwstr>0</vt:lpwstr>
  </property>
  <property fmtid="{D5CDD505-2E9C-101B-9397-08002B2CF9AE}" pid="14" name="Document_Confidentiality">
    <vt:lpwstr>Unrestricted</vt:lpwstr>
  </property>
</Properties>
</file>